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Menu" sheetId="1" r:id="rId1"/>
    <sheet name="One cow simple analysis" sheetId="2" r:id="rId2"/>
    <sheet name="Herd analysis" sheetId="3" r:id="rId3"/>
    <sheet name="Forage analyzer" sheetId="4" r:id="rId4"/>
    <sheet name="Advanced users" sheetId="5" r:id="rId5"/>
  </sheets>
  <externalReferences>
    <externalReference r:id="rId8"/>
  </externalReferences>
  <definedNames>
    <definedName name="age">'One cow simple analysis'!$C$5</definedName>
    <definedName name="animal_type">'One cow simple analysis'!$C$4</definedName>
    <definedName name="aofc">'One cow simple analysis'!$C$9</definedName>
    <definedName name="bellne">'[1]Program defaults'!$B$101</definedName>
    <definedName name="bellnp">'[1]Program defaults'!$B$102</definedName>
    <definedName name="calc_dmi">'One cow simple analysis'!$C$177</definedName>
    <definedName name="calc_target_adg">'One cow simple analysis'!$C$138</definedName>
    <definedName name="calf_bw">'One cow simple analysis'!$C$13</definedName>
    <definedName name="calving_interval">'One cow simple analysis'!$C$10</definedName>
    <definedName name="cbw">'One cow simple analysis'!$D$1</definedName>
    <definedName name="conceptusweight">'[1]Preg'!$G$7</definedName>
    <definedName name="dayspreg">'[1]Group 1 of x'!$B$14</definedName>
    <definedName name="dcc">'One cow simple analysis'!$C$12</definedName>
    <definedName name="diet_cp">'One cow simple analysis'!$G$14</definedName>
    <definedName name="diet_hg_proportion">'One cow simple analysis'!$G$9</definedName>
    <definedName name="diet_neg">'One cow simple analysis'!$G$17</definedName>
    <definedName name="diet_nel">'One cow simple analysis'!$G$16</definedName>
    <definedName name="dietnem">'[1]Energy calcs'!$C$30</definedName>
    <definedName name="dim">'One cow simple analysis'!$C$11</definedName>
    <definedName name="fbw">'[1]General calcs'!$B$2</definedName>
    <definedName name="fcm">'[1]General calcs'!$B$39</definedName>
    <definedName name="forage_cp">'One cow simple analysis'!$G$13</definedName>
    <definedName name="forage_in_diet_pro">'One cow simple analysis'!$G$10</definedName>
    <definedName name="hays_max">'Forage analyzer'!$G$109:$J$112</definedName>
    <definedName name="hays_min">'Forage analyzer'!$C$109:$F$112</definedName>
    <definedName name="home_grown_forage_pro">'One cow simple analysis'!$G$11</definedName>
    <definedName name="inputted_adg">'One cow simple analysis'!$C$17</definedName>
    <definedName name="inputted_dmi">'One cow simple analysis'!$C$18</definedName>
    <definedName name="lag">'One cow simple analysis'!$C$170</definedName>
    <definedName name="mature_weight">'One cow simple analysis'!$C$7</definedName>
    <definedName name="milk">'One cow simple analysis'!$C$14</definedName>
    <definedName name="milk_fat">'One cow simple analysis'!$C$16</definedName>
    <definedName name="milk_protein">'One cow simple analysis'!$C$15</definedName>
    <definedName name="pastures_max">'Forage analyzer'!$G$115:$J$118</definedName>
    <definedName name="pastures_min">'Forage analyzer'!$C$115:$F$118</definedName>
    <definedName name="predicted_dmi">'One cow simple analysis'!$C$23</definedName>
    <definedName name="preg_adg">'One cow simple analysis'!$C$161</definedName>
    <definedName name="preg_net_protein">'One cow simple analysis'!$C$159</definedName>
    <definedName name="preg_weight">'One cow simple analysis'!$C$162</definedName>
    <definedName name="_xlnm.Print_Area" localSheetId="2">'Herd analysis'!$B$59:$N$82</definedName>
    <definedName name="_xlnm.Print_Area" localSheetId="1">'One cow simple analysis'!$B$3:$H$44</definedName>
    <definedName name="sbw">'[1]General calcs'!$B$3</definedName>
    <definedName name="silages_max">'Forage analyzer'!$I$101:$N$106</definedName>
    <definedName name="silages_min">'Forage analyzer'!$C$101:$H$106</definedName>
    <definedName name="target_adg">'One cow simple analysis'!$C$24</definedName>
    <definedName name="totaldmkgfed">'[1]Pool Calcs'!$B$15</definedName>
    <definedName name="weight">'One cow simple analysis'!$C$6</definedName>
    <definedName name="wol">'[1]General calcs'!$B$35</definedName>
  </definedNames>
  <calcPr fullCalcOnLoad="1"/>
</workbook>
</file>

<file path=xl/sharedStrings.xml><?xml version="1.0" encoding="utf-8"?>
<sst xmlns="http://schemas.openxmlformats.org/spreadsheetml/2006/main" count="582" uniqueCount="260">
  <si>
    <t>Animal type</t>
  </si>
  <si>
    <t>Age</t>
  </si>
  <si>
    <t>Body weight</t>
  </si>
  <si>
    <t>Mature body weight</t>
  </si>
  <si>
    <t>Milk protein</t>
  </si>
  <si>
    <t>Age of first calving</t>
  </si>
  <si>
    <t>Calving Interval</t>
  </si>
  <si>
    <t>Days in milk</t>
  </si>
  <si>
    <t>Days pregnant</t>
  </si>
  <si>
    <t>Milk production</t>
  </si>
  <si>
    <t>Inputted ADG</t>
  </si>
  <si>
    <t>Inputted DMI</t>
  </si>
  <si>
    <t>Predicted DMI</t>
  </si>
  <si>
    <t>% Forage in diet</t>
  </si>
  <si>
    <t>% diet that is home grown</t>
  </si>
  <si>
    <t>% Forage that is home grown</t>
  </si>
  <si>
    <t>average protein content of forage</t>
  </si>
  <si>
    <t>diet crude protein content</t>
  </si>
  <si>
    <t>months</t>
  </si>
  <si>
    <t>lbs</t>
  </si>
  <si>
    <t>days</t>
  </si>
  <si>
    <t>lbs/d</t>
  </si>
  <si>
    <t>1=lact cow, 2=dry cow, 3=replacement heifer</t>
  </si>
  <si>
    <t>Calculation area</t>
  </si>
  <si>
    <t>Gains</t>
  </si>
  <si>
    <t>Pre-breeding</t>
  </si>
  <si>
    <t>Bred</t>
  </si>
  <si>
    <t>1st calf</t>
  </si>
  <si>
    <t>Calf birth weight</t>
  </si>
  <si>
    <t>2nd calf</t>
  </si>
  <si>
    <t>3rd calf</t>
  </si>
  <si>
    <t>% mature</t>
  </si>
  <si>
    <t>Mature</t>
  </si>
  <si>
    <t>weight</t>
  </si>
  <si>
    <t>age mo</t>
  </si>
  <si>
    <t>Current animal</t>
  </si>
  <si>
    <t>Weight</t>
  </si>
  <si>
    <t>Lact number</t>
  </si>
  <si>
    <t>Target animal</t>
  </si>
  <si>
    <t>mo</t>
  </si>
  <si>
    <t>days to gain</t>
  </si>
  <si>
    <t>to gain</t>
  </si>
  <si>
    <t>target adg w/o preg</t>
  </si>
  <si>
    <t>Preg. Calcs</t>
  </si>
  <si>
    <t>Target ADG with conceptus</t>
  </si>
  <si>
    <t>Net protein</t>
  </si>
  <si>
    <t>ADG g/d</t>
  </si>
  <si>
    <t>g/d</t>
  </si>
  <si>
    <t>lb/d</t>
  </si>
  <si>
    <t>Dry matter intake</t>
  </si>
  <si>
    <t>Age factor growing animals</t>
  </si>
  <si>
    <t xml:space="preserve">NE factor </t>
  </si>
  <si>
    <t>Lact Dairy lag</t>
  </si>
  <si>
    <t>Mcal/lb</t>
  </si>
  <si>
    <t>Conceptus weight</t>
  </si>
  <si>
    <t>kg</t>
  </si>
  <si>
    <t>Milk fat</t>
  </si>
  <si>
    <t>Open heifs and &lt;210 bred</t>
  </si>
  <si>
    <t>&gt; 210 d bred heifs</t>
  </si>
  <si>
    <t>Lactating dairy</t>
  </si>
  <si>
    <t>Dry Dairy Cattle</t>
  </si>
  <si>
    <t>kg Dmi</t>
  </si>
  <si>
    <t>being used</t>
  </si>
  <si>
    <t>Using inputted dmi and gains</t>
  </si>
  <si>
    <t>home grown diet</t>
  </si>
  <si>
    <t>forage in diet</t>
  </si>
  <si>
    <t>home grown forage</t>
  </si>
  <si>
    <t>home grown non-forage</t>
  </si>
  <si>
    <t>total protein intake</t>
  </si>
  <si>
    <t>forage protein intake</t>
  </si>
  <si>
    <t>non-forage protein intake</t>
  </si>
  <si>
    <t>Equiv weight</t>
  </si>
  <si>
    <t>Shrunk wt</t>
  </si>
  <si>
    <t>Shrunk wt - conceptus wt</t>
  </si>
  <si>
    <t>Standard wt</t>
  </si>
  <si>
    <t>EQEBW</t>
  </si>
  <si>
    <t>RE</t>
  </si>
  <si>
    <t>Gain to use</t>
  </si>
  <si>
    <t>kg/d</t>
  </si>
  <si>
    <t>Mcal/d</t>
  </si>
  <si>
    <t>Net Protein gain</t>
  </si>
  <si>
    <t>g N /d</t>
  </si>
  <si>
    <t>g N / d</t>
  </si>
  <si>
    <t>Forage type</t>
  </si>
  <si>
    <t>Stored as</t>
  </si>
  <si>
    <t>1= silage or baleage, 2= dry hay, 3= pasture</t>
  </si>
  <si>
    <t>Dry matter content</t>
  </si>
  <si>
    <t>Crude Protein content</t>
  </si>
  <si>
    <t>Soluble Protein content</t>
  </si>
  <si>
    <t>Unavailable Protein content</t>
  </si>
  <si>
    <t>of crude protein</t>
  </si>
  <si>
    <t>of dry matter</t>
  </si>
  <si>
    <t>NDF</t>
  </si>
  <si>
    <t>1=corn silage, 2= other grain type silage, 3= alfalfa, 4= grass, 5= other legumes, 6= grass/alfalfa mix</t>
  </si>
  <si>
    <t>Ranges</t>
  </si>
  <si>
    <t>DM</t>
  </si>
  <si>
    <t>CP</t>
  </si>
  <si>
    <t>Soluble</t>
  </si>
  <si>
    <t>ADIN</t>
  </si>
  <si>
    <t>Silage</t>
  </si>
  <si>
    <t>Min</t>
  </si>
  <si>
    <t>Max</t>
  </si>
  <si>
    <t>Hay</t>
  </si>
  <si>
    <t>Pasture</t>
  </si>
  <si>
    <t>Normal ranges</t>
  </si>
  <si>
    <t>Minimum</t>
  </si>
  <si>
    <t>Maximum</t>
  </si>
  <si>
    <t>Mins</t>
  </si>
  <si>
    <t>%</t>
  </si>
  <si>
    <t>% DM</t>
  </si>
  <si>
    <t>Impact</t>
  </si>
  <si>
    <t>Rules</t>
  </si>
  <si>
    <t>Dry Matter</t>
  </si>
  <si>
    <t>Too wet</t>
  </si>
  <si>
    <t>Too dry</t>
  </si>
  <si>
    <t>Crude Protein Content</t>
  </si>
  <si>
    <t>Low</t>
  </si>
  <si>
    <t>High</t>
  </si>
  <si>
    <t>Soluble protein</t>
  </si>
  <si>
    <t>high</t>
  </si>
  <si>
    <t>low</t>
  </si>
  <si>
    <t>Excessive leaf loss</t>
  </si>
  <si>
    <t>Nothing you can do</t>
  </si>
  <si>
    <t>Heating resulting in protein loss/fire</t>
  </si>
  <si>
    <t>Poor/no fermentation. Could depress intake.</t>
  </si>
  <si>
    <t>Poor fermentation (clostridia, high butyric), could depress intake.</t>
  </si>
  <si>
    <t>To conduct a whole herd analysis with more group, feed, and farm specific data,</t>
  </si>
  <si>
    <t>you need to use the Cornell Net Carbohydrate and Protein System.</t>
  </si>
  <si>
    <t>The CNCPS can be obtained by following the link below:</t>
  </si>
  <si>
    <t>www.cncps.cornell.edu</t>
  </si>
  <si>
    <t>607-255-7712</t>
  </si>
  <si>
    <t>Not a problem</t>
  </si>
  <si>
    <t>Poor fermentation resulting in bound protein</t>
  </si>
  <si>
    <t>Nothing you can do.</t>
  </si>
  <si>
    <t>Probably a sampling error. Pasture samples must be kept cold (&lt;40 F) during transit.</t>
  </si>
  <si>
    <t>grain silage</t>
  </si>
  <si>
    <t>hay silage</t>
  </si>
  <si>
    <t>High starch feed. Watch physically effective fiber levels of diets with this forage in rations.</t>
  </si>
  <si>
    <t>Low starch feed. Will need to increase NFC sources in diet to utilize well.</t>
  </si>
  <si>
    <t>Harvested late. This will liimit intake and potential production if fed in high quantities.</t>
  </si>
  <si>
    <t>Cattle were put in this pasture late. Production will be less then desired.</t>
  </si>
  <si>
    <t>Means very little.</t>
  </si>
  <si>
    <t>Means very little. Most likely harvested late, or inadequate N fertilization. NDF should be used to asses hay quality.</t>
  </si>
  <si>
    <t>Means very little. Most likely harvested early, or excessive N fertilization. NDF should be used to asses hay quality.</t>
  </si>
  <si>
    <t>Means very little. Most likely pastured late, or inadequate N fertilization. NDF should be used to asses quality.</t>
  </si>
  <si>
    <t>Inputs</t>
  </si>
  <si>
    <t>Outputs</t>
  </si>
  <si>
    <t>Total N intake</t>
  </si>
  <si>
    <t>N from forage</t>
  </si>
  <si>
    <t>N from concentrates</t>
  </si>
  <si>
    <t>Milk N</t>
  </si>
  <si>
    <t>Preg. N</t>
  </si>
  <si>
    <t>Gain N</t>
  </si>
  <si>
    <t>Total product N</t>
  </si>
  <si>
    <t>Product N / Intake N</t>
  </si>
  <si>
    <t>Total N excreted</t>
  </si>
  <si>
    <t>g/d (feces and urine)</t>
  </si>
  <si>
    <t>Group descriptions</t>
  </si>
  <si>
    <t>Number of animals</t>
  </si>
  <si>
    <t>Herd general inputs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</si>
  <si>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</si>
  <si>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</si>
  <si>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</si>
  <si>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</si>
  <si>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</si>
  <si>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</si>
  <si>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</si>
  <si>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</si>
  <si>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</si>
  <si>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</si>
  <si>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Days to calculate for</t>
  </si>
  <si>
    <t>Diet information</t>
  </si>
  <si>
    <t>Home raised N</t>
  </si>
  <si>
    <t>Purchased N</t>
  </si>
  <si>
    <t>Homegrown N</t>
  </si>
  <si>
    <t>non-forage protein %</t>
  </si>
  <si>
    <t>non-forage intake</t>
  </si>
  <si>
    <t>from forage</t>
  </si>
  <si>
    <t>from concentrates</t>
  </si>
  <si>
    <t>home grown N</t>
  </si>
  <si>
    <t>purchased N</t>
  </si>
  <si>
    <t>kg/group/yr</t>
  </si>
  <si>
    <t>Herd totals</t>
  </si>
  <si>
    <t>Total Product N</t>
  </si>
  <si>
    <t>Urinary N</t>
  </si>
  <si>
    <t>Fecal N</t>
  </si>
  <si>
    <t>Total N excreted (whole herd)</t>
  </si>
  <si>
    <t>Proportion</t>
  </si>
  <si>
    <t>home raised</t>
  </si>
  <si>
    <t>purchased</t>
  </si>
  <si>
    <t>of total product</t>
  </si>
  <si>
    <t>of total N intake</t>
  </si>
  <si>
    <t>&gt;</t>
  </si>
  <si>
    <t>Efficiency goal</t>
  </si>
  <si>
    <t>Product N / Intake N (Efficiency)</t>
  </si>
  <si>
    <t>Welcome to the Dairy Cattle Nitrogen Excretion Calculator</t>
  </si>
  <si>
    <t>Version 1.00</t>
  </si>
  <si>
    <t>Developed as part of an FRA project jointly between:</t>
  </si>
  <si>
    <t>USDA-ARS Beltsville</t>
  </si>
  <si>
    <t>Dept. of Animal Science, Cornell University</t>
  </si>
  <si>
    <t>Diet NEL</t>
  </si>
  <si>
    <t>Diet NEG</t>
  </si>
  <si>
    <t>vb65@cornell.edu</t>
  </si>
  <si>
    <t>or, you can contact Victoria Badalamenti:</t>
  </si>
  <si>
    <t>Copyright 2005, Cornell University Dept. of Animal Science</t>
  </si>
  <si>
    <t>January 2005</t>
  </si>
  <si>
    <t>Milk protein (%)</t>
  </si>
  <si>
    <t>lb</t>
  </si>
  <si>
    <t>lact. Cow (1), dry cow (2), or heifer (3)</t>
  </si>
  <si>
    <t>Age (months)</t>
  </si>
  <si>
    <t>Body weight (lbs)</t>
  </si>
  <si>
    <t>Milk production ( lbs/head/day)</t>
  </si>
  <si>
    <t>Milk fat (%)</t>
  </si>
  <si>
    <t>Inputted ADG (lb/day)</t>
  </si>
  <si>
    <t>Inputted DMI (lb/head/day)</t>
  </si>
  <si>
    <t>Diet NEL (mcal/lb DM)</t>
  </si>
  <si>
    <t>Diet NEG (mcal/lb DM)</t>
  </si>
  <si>
    <t>Predicted DMI (lb/head/day)</t>
  </si>
  <si>
    <t>Target ADG with conceptus(lb/day)</t>
  </si>
  <si>
    <t>% of intake N excreted</t>
  </si>
  <si>
    <t>Total N intake (lb/group)</t>
  </si>
  <si>
    <t xml:space="preserve">    N from forage (lb/group)</t>
  </si>
  <si>
    <t xml:space="preserve">  N from concentrates (lb/group)</t>
  </si>
  <si>
    <t>Home raised N (lb/group)</t>
  </si>
  <si>
    <t>Purchased N (lb/group)</t>
  </si>
  <si>
    <t>Milk N (lb/group)</t>
  </si>
  <si>
    <t>Preg. N (lb/group)</t>
  </si>
  <si>
    <t>Gain N (lb/group)</t>
  </si>
  <si>
    <t>Total product N (lb/group)</t>
  </si>
  <si>
    <t>Total N excreted (lb/group)</t>
  </si>
  <si>
    <t>% urine in manure</t>
  </si>
  <si>
    <t>% Urine in manure</t>
  </si>
  <si>
    <t xml:space="preserve">Urinary N </t>
  </si>
  <si>
    <t>% of N volatilized in barn</t>
  </si>
  <si>
    <t>N volatilized, g/d</t>
  </si>
  <si>
    <t>% of N volitalized in barn</t>
  </si>
  <si>
    <r>
      <t xml:space="preserve">Note: </t>
    </r>
    <r>
      <rPr>
        <b/>
        <sz val="12"/>
        <color indexed="10"/>
        <rFont val="Arial"/>
        <family val="2"/>
      </rPr>
      <t xml:space="preserve">All inputs are in red.  </t>
    </r>
  </si>
  <si>
    <t xml:space="preserve">Calculations assume animal requirements are met by the diet and intake entered. </t>
  </si>
  <si>
    <t>Barn temperature, degrees F</t>
  </si>
  <si>
    <t>Scrape interval, hr</t>
  </si>
  <si>
    <t>Annual average</t>
  </si>
  <si>
    <t xml:space="preserve">estimated % urinary N in manure N; </t>
  </si>
  <si>
    <t>lactating cows, 40-50%; heifers and dry cows, 35-40%.</t>
  </si>
  <si>
    <t xml:space="preserve">Estimates are based on Hutson et al., J. Production Agriculture Vol. 11, no. 2 pp. 233-239 (1998). </t>
  </si>
  <si>
    <t>Urinary N, lb.</t>
  </si>
  <si>
    <t xml:space="preserve">Fecal N, lb. </t>
  </si>
  <si>
    <t>N volatilized in barn total (lb)</t>
  </si>
  <si>
    <t>N volatilized in barn daily (lb)</t>
  </si>
  <si>
    <t>lb.</t>
  </si>
  <si>
    <t>Estimates of % of N in manure that is volatilized on the barn floor.</t>
  </si>
  <si>
    <t>Acceptability</t>
  </si>
  <si>
    <t>%CP</t>
  </si>
  <si>
    <t>% CP</t>
  </si>
  <si>
    <t>Additional true protein must be fed to meet requirements; increases N excretion. Review harvest management.</t>
  </si>
  <si>
    <t>Hay did not dry well in windrow. Additional true protein must be fed to meet requirements; increases N excretion.</t>
  </si>
  <si>
    <t>Means very little. Pasture very immature, or high N fertilization. NDF should be used to asses quality.</t>
  </si>
  <si>
    <t>Harvested early. Watch physically effective fiber in diets containing this forage. Facilitates use of a high forage diet.</t>
  </si>
  <si>
    <t>Watch physically effective fiber levels in these rations. While high quality, cow health could be comprimised.</t>
  </si>
  <si>
    <t>Hay heated during storage. Likely too wet at baling. Risk of fire and lower intakes.</t>
  </si>
  <si>
    <t>Means very little. Harvested at early growth, or excessive N fertilization. NDF should be used to asses hay quality.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</si>
</sst>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1" fontId="5" fillId="0" borderId="0" xfId="15" applyFont="1" applyAlignment="1">
      <alignment/>
    </xf>
    <xf numFmtId="17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21" applyFont="1" applyAlignment="1">
      <alignment/>
    </xf>
    <xf numFmtId="172" fontId="3" fillId="0" borderId="0" xfId="21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171" fontId="5" fillId="0" borderId="0" xfId="15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 locked="0"/>
    </xf>
    <xf numFmtId="9" fontId="5" fillId="0" borderId="0" xfId="0" applyNumberFormat="1" applyFont="1" applyAlignment="1" applyProtection="1">
      <alignment/>
      <protection locked="0"/>
    </xf>
    <xf numFmtId="0" fontId="2" fillId="0" borderId="0" xfId="20" applyAlignment="1">
      <alignment/>
    </xf>
    <xf numFmtId="2" fontId="5" fillId="0" borderId="0" xfId="0" applyNumberFormat="1" applyFont="1" applyAlignment="1" applyProtection="1">
      <alignment/>
      <protection locked="0"/>
    </xf>
    <xf numFmtId="173" fontId="5" fillId="0" borderId="0" xfId="15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9" fontId="1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67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('Herd analysis'!$B$60:$B$64,'Herd analysis'!$B$66:$B$67)</c:f>
              <c:strCache>
                <c:ptCount val="7"/>
                <c:pt idx="0">
                  <c:v>Home raised N</c:v>
                </c:pt>
                <c:pt idx="1">
                  <c:v>Purchased N</c:v>
                </c:pt>
                <c:pt idx="2">
                  <c:v>Milk N</c:v>
                </c:pt>
                <c:pt idx="3">
                  <c:v>Preg. N</c:v>
                </c:pt>
                <c:pt idx="4">
                  <c:v>Gain N</c:v>
                </c:pt>
                <c:pt idx="5">
                  <c:v>Product N / Intake N (Efficiency)</c:v>
                </c:pt>
                <c:pt idx="6">
                  <c:v>Efficiency goal</c:v>
                </c:pt>
              </c:strCache>
            </c:strRef>
          </c:cat>
          <c:val>
            <c:numRef>
              <c:f>('Herd analysis'!$D$60:$D$64,'Herd analysis'!$D$66:$D$67)</c:f>
              <c:numCache>
                <c:ptCount val="7"/>
                <c:pt idx="0">
                  <c:v>0.6315033348292488</c:v>
                </c:pt>
                <c:pt idx="1">
                  <c:v>0.3684966651707512</c:v>
                </c:pt>
                <c:pt idx="2">
                  <c:v>0.9160465064213692</c:v>
                </c:pt>
                <c:pt idx="3">
                  <c:v>0.013642979183439248</c:v>
                </c:pt>
                <c:pt idx="4">
                  <c:v>0.07031051439519143</c:v>
                </c:pt>
                <c:pt idx="5">
                  <c:v>0.25134830747188075</c:v>
                </c:pt>
                <c:pt idx="6">
                  <c:v>0.35</c:v>
                </c:pt>
              </c:numCache>
            </c:numRef>
          </c:val>
        </c:ser>
        <c:gapWidth val="10"/>
        <c:axId val="5968799"/>
        <c:axId val="53719192"/>
      </c:bar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rnell.edu/" TargetMode="External" /><Relationship Id="rId3" Type="http://schemas.openxmlformats.org/officeDocument/2006/relationships/hyperlink" Target="http://www.cornell.ed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ba.ars.usda.gov/" TargetMode="External" /><Relationship Id="rId6" Type="http://schemas.openxmlformats.org/officeDocument/2006/relationships/hyperlink" Target="http://www.ba.ars.usda.gov/" TargetMode="External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13.emf" /><Relationship Id="rId10" Type="http://schemas.openxmlformats.org/officeDocument/2006/relationships/image" Target="../media/image12.emf" /><Relationship Id="rId11" Type="http://schemas.openxmlformats.org/officeDocument/2006/relationships/image" Target="../media/image16.emf" /><Relationship Id="rId1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cncps.cornell.edu/" TargetMode="External" /><Relationship Id="rId3" Type="http://schemas.openxmlformats.org/officeDocument/2006/relationships/hyperlink" Target="http://www.cncps.cornell.edu/" TargetMode="Externa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1</xdr:col>
      <xdr:colOff>133350</xdr:colOff>
      <xdr:row>10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8</xdr:row>
      <xdr:rowOff>0</xdr:rowOff>
    </xdr:from>
    <xdr:to>
      <xdr:col>8</xdr:col>
      <xdr:colOff>9525</xdr:colOff>
      <xdr:row>10</xdr:row>
      <xdr:rowOff>123825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14763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3</xdr:col>
      <xdr:colOff>276225</xdr:colOff>
      <xdr:row>13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21812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12</xdr:row>
      <xdr:rowOff>28575</xdr:rowOff>
    </xdr:from>
    <xdr:to>
      <xdr:col>5</xdr:col>
      <xdr:colOff>523875</xdr:colOff>
      <xdr:row>13</xdr:row>
      <xdr:rowOff>123825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21812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28575</xdr:rowOff>
    </xdr:from>
    <xdr:to>
      <xdr:col>3</xdr:col>
      <xdr:colOff>276225</xdr:colOff>
      <xdr:row>15</xdr:row>
      <xdr:rowOff>123825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25050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14</xdr:row>
      <xdr:rowOff>28575</xdr:rowOff>
    </xdr:from>
    <xdr:to>
      <xdr:col>5</xdr:col>
      <xdr:colOff>523875</xdr:colOff>
      <xdr:row>15</xdr:row>
      <xdr:rowOff>123825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0" y="25050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</xdr:row>
      <xdr:rowOff>9525</xdr:rowOff>
    </xdr:from>
    <xdr:to>
      <xdr:col>4</xdr:col>
      <xdr:colOff>381000</xdr:colOff>
      <xdr:row>17</xdr:row>
      <xdr:rowOff>104775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28098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18</xdr:row>
      <xdr:rowOff>38100</xdr:rowOff>
    </xdr:from>
    <xdr:to>
      <xdr:col>5</xdr:col>
      <xdr:colOff>304800</xdr:colOff>
      <xdr:row>27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" y="3162300"/>
          <a:ext cx="2533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0</xdr:row>
      <xdr:rowOff>28575</xdr:rowOff>
    </xdr:from>
    <xdr:to>
      <xdr:col>6</xdr:col>
      <xdr:colOff>276225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28575</xdr:rowOff>
    </xdr:from>
    <xdr:to>
      <xdr:col>5</xdr:col>
      <xdr:colOff>1171575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85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58</xdr:row>
      <xdr:rowOff>171450</xdr:rowOff>
    </xdr:from>
    <xdr:to>
      <xdr:col>14</xdr:col>
      <xdr:colOff>419100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5419725" y="11201400"/>
        <a:ext cx="49434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114300</xdr:colOff>
      <xdr:row>0</xdr:row>
      <xdr:rowOff>38100</xdr:rowOff>
    </xdr:from>
    <xdr:to>
      <xdr:col>9</xdr:col>
      <xdr:colOff>190500</xdr:colOff>
      <xdr:row>1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38100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</xdr:rowOff>
    </xdr:from>
    <xdr:to>
      <xdr:col>7</xdr:col>
      <xdr:colOff>85725</xdr:colOff>
      <xdr:row>1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8100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9525</xdr:rowOff>
    </xdr:from>
    <xdr:to>
      <xdr:col>9</xdr:col>
      <xdr:colOff>190500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7</xdr:col>
      <xdr:colOff>95250</xdr:colOff>
      <xdr:row>1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95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8</xdr:col>
      <xdr:colOff>19050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425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11</xdr:row>
      <xdr:rowOff>133350</xdr:rowOff>
    </xdr:from>
    <xdr:to>
      <xdr:col>4</xdr:col>
      <xdr:colOff>9525</xdr:colOff>
      <xdr:row>13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431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CNCPSv6\CNCPS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gram defaults"/>
      <sheetName val="Default weather data"/>
      <sheetName val="Farm"/>
      <sheetName val="Farm economic inputs"/>
      <sheetName val="Feeds"/>
      <sheetName val="Make Mix pre-formulation"/>
      <sheetName val="Inventory calcs"/>
      <sheetName val="Barn 1 of n"/>
      <sheetName val="Group 1 of x"/>
      <sheetName val="Group 2 of x"/>
      <sheetName val="Ration 1 of x"/>
      <sheetName val="Ration 2 of x"/>
      <sheetName val="Advanced Input Style"/>
      <sheetName val="General calcs"/>
      <sheetName val="Preg"/>
      <sheetName val="Lact"/>
      <sheetName val="Growth"/>
      <sheetName val="Reserves gen and rqd"/>
      <sheetName val="Pool Calcs"/>
      <sheetName val="Rumen"/>
      <sheetName val="Lower tract"/>
      <sheetName val="Fecal"/>
      <sheetName val="Energy calcs"/>
      <sheetName val="Protein calcs"/>
      <sheetName val="Protein Maintenance"/>
      <sheetName val="Protein balance"/>
      <sheetName val="Energy Maintenance"/>
      <sheetName val="Energy balance"/>
      <sheetName val="Reserves balance"/>
      <sheetName val="DMI"/>
      <sheetName val="Amino Acid supply"/>
      <sheetName val="Fatty Acid Supply"/>
      <sheetName val="Calf model"/>
      <sheetName val="Minerals"/>
      <sheetName val="Ration results"/>
      <sheetName val="Nutrient flows and balances"/>
      <sheetName val="Inventory results"/>
      <sheetName val="Economic results"/>
      <sheetName val="one page summary"/>
      <sheetName val="Simple results"/>
      <sheetName val="Complex results"/>
      <sheetName val="Feed update data"/>
      <sheetName val="Mineral formulator"/>
      <sheetName val="Mix sheets"/>
      <sheetName val="Batch sheets"/>
      <sheetName val="Advanced Ouput"/>
      <sheetName val="Optimizer inputs"/>
      <sheetName val="MCA inputs"/>
    </sheetNames>
    <sheetDataSet>
      <sheetData sheetId="1">
        <row r="101">
          <cell r="B101">
            <v>0.14</v>
          </cell>
        </row>
        <row r="102">
          <cell r="B102">
            <v>0.33</v>
          </cell>
        </row>
      </sheetData>
      <sheetData sheetId="9">
        <row r="14">
          <cell r="B14">
            <v>199</v>
          </cell>
        </row>
      </sheetData>
      <sheetData sheetId="14">
        <row r="2">
          <cell r="B2">
            <v>635.2087114337568</v>
          </cell>
        </row>
        <row r="3">
          <cell r="B3">
            <v>609.8003629764065</v>
          </cell>
        </row>
        <row r="35">
          <cell r="B35">
            <v>21.428571428571427</v>
          </cell>
        </row>
        <row r="39">
          <cell r="B39">
            <v>34.66424682395643</v>
          </cell>
        </row>
      </sheetData>
      <sheetData sheetId="15">
        <row r="7">
          <cell r="G7">
            <v>22.262344</v>
          </cell>
        </row>
      </sheetData>
      <sheetData sheetId="19">
        <row r="15">
          <cell r="B15">
            <v>23.5934664246824</v>
          </cell>
        </row>
      </sheetData>
      <sheetData sheetId="23">
        <row r="30">
          <cell r="C30">
            <v>1.8652976299020256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ncps.cornell.edu/" TargetMode="External" /><Relationship Id="rId2" Type="http://schemas.openxmlformats.org/officeDocument/2006/relationships/hyperlink" Target="mailto:vb65@cornell.edu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7" ht="15.75">
      <c r="B3" s="18" t="s">
        <v>195</v>
      </c>
      <c r="C3" s="18"/>
      <c r="D3" s="18"/>
      <c r="E3" s="18"/>
      <c r="F3" s="18"/>
      <c r="G3" s="18"/>
    </row>
    <row r="4" spans="2:7" ht="15">
      <c r="B4" s="52" t="s">
        <v>196</v>
      </c>
      <c r="C4" s="52"/>
      <c r="D4" s="52"/>
      <c r="E4" s="52"/>
      <c r="F4" s="52"/>
      <c r="G4" s="52"/>
    </row>
    <row r="5" spans="2:7" ht="15">
      <c r="B5" s="4" t="s">
        <v>204</v>
      </c>
      <c r="C5" s="4"/>
      <c r="D5" s="4"/>
      <c r="E5" s="4"/>
      <c r="F5" s="4"/>
      <c r="G5" s="4"/>
    </row>
    <row r="6" spans="2:7" ht="15">
      <c r="B6" s="52" t="s">
        <v>197</v>
      </c>
      <c r="C6" s="52"/>
      <c r="D6" s="52"/>
      <c r="E6" s="52"/>
      <c r="F6" s="52"/>
      <c r="G6" s="52"/>
    </row>
    <row r="7" spans="2:7" ht="15">
      <c r="B7" s="52" t="s">
        <v>198</v>
      </c>
      <c r="C7" s="52"/>
      <c r="D7" s="52"/>
      <c r="E7" s="52"/>
      <c r="F7" s="52"/>
      <c r="G7" s="52"/>
    </row>
    <row r="8" spans="2:7" ht="15">
      <c r="B8" s="52" t="s">
        <v>199</v>
      </c>
      <c r="C8" s="52"/>
      <c r="D8" s="52"/>
      <c r="E8" s="52"/>
      <c r="F8" s="52"/>
      <c r="G8" s="52"/>
    </row>
    <row r="9" spans="2:7" ht="15">
      <c r="B9" s="53" t="s">
        <v>205</v>
      </c>
      <c r="C9" s="53"/>
      <c r="D9" s="53"/>
      <c r="E9" s="53"/>
      <c r="F9" s="53"/>
      <c r="G9" s="53"/>
    </row>
    <row r="29" spans="3:5" ht="15.75">
      <c r="C29" s="29" t="s">
        <v>236</v>
      </c>
      <c r="D29" s="29"/>
      <c r="E29" s="29"/>
    </row>
    <row r="30" spans="3:11" ht="15.75">
      <c r="C30" s="29" t="s">
        <v>237</v>
      </c>
      <c r="D30" s="29"/>
      <c r="E30" s="29"/>
      <c r="F30" s="29"/>
      <c r="G30" s="29"/>
      <c r="H30" s="29"/>
      <c r="I30" s="29"/>
      <c r="J30" s="29"/>
      <c r="K30" s="29"/>
    </row>
  </sheetData>
  <sheetProtection sheet="1" objects="1" scenarios="1" selectLockedCells="1" selectUnlockedCells="1"/>
  <mergeCells count="5">
    <mergeCell ref="B7:G7"/>
    <mergeCell ref="B8:G8"/>
    <mergeCell ref="B9:G9"/>
    <mergeCell ref="B4:G4"/>
    <mergeCell ref="B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19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9.28125" style="1" bestFit="1" customWidth="1"/>
    <col min="4" max="5" width="9.140625" style="1" customWidth="1"/>
    <col min="6" max="6" width="33.140625" style="1" customWidth="1"/>
    <col min="7" max="7" width="10.00390625" style="1" customWidth="1"/>
    <col min="8" max="16384" width="9.140625" style="1" customWidth="1"/>
  </cols>
  <sheetData>
    <row r="1" ht="15"/>
    <row r="2" ht="15"/>
    <row r="3" ht="15.75">
      <c r="B3" s="5" t="s">
        <v>145</v>
      </c>
    </row>
    <row r="4" spans="2:4" ht="15">
      <c r="B4" s="1" t="s">
        <v>0</v>
      </c>
      <c r="C4" s="19">
        <v>1</v>
      </c>
      <c r="D4" s="1" t="s">
        <v>22</v>
      </c>
    </row>
    <row r="5" spans="2:4" ht="15">
      <c r="B5" s="1" t="s">
        <v>1</v>
      </c>
      <c r="C5" s="19">
        <v>48</v>
      </c>
      <c r="D5" s="1" t="s">
        <v>18</v>
      </c>
    </row>
    <row r="6" spans="2:4" ht="15">
      <c r="B6" s="1" t="s">
        <v>2</v>
      </c>
      <c r="C6" s="19">
        <v>1400</v>
      </c>
      <c r="D6" s="1" t="s">
        <v>19</v>
      </c>
    </row>
    <row r="7" spans="2:4" ht="15">
      <c r="B7" s="1" t="s">
        <v>3</v>
      </c>
      <c r="C7" s="19">
        <v>1500</v>
      </c>
      <c r="D7" s="1" t="s">
        <v>19</v>
      </c>
    </row>
    <row r="8" ht="15">
      <c r="C8" s="46"/>
    </row>
    <row r="9" spans="2:7" ht="15">
      <c r="B9" s="1" t="s">
        <v>5</v>
      </c>
      <c r="C9" s="19">
        <v>24</v>
      </c>
      <c r="D9" s="1" t="s">
        <v>18</v>
      </c>
      <c r="F9" s="1" t="s">
        <v>14</v>
      </c>
      <c r="G9" s="20">
        <v>0.45</v>
      </c>
    </row>
    <row r="10" spans="2:7" ht="15">
      <c r="B10" s="1" t="s">
        <v>6</v>
      </c>
      <c r="C10" s="19">
        <v>13.5</v>
      </c>
      <c r="D10" s="1" t="s">
        <v>18</v>
      </c>
      <c r="F10" s="1" t="s">
        <v>13</v>
      </c>
      <c r="G10" s="20">
        <v>0.5</v>
      </c>
    </row>
    <row r="11" spans="2:7" ht="15">
      <c r="B11" s="1" t="s">
        <v>7</v>
      </c>
      <c r="C11" s="19">
        <v>150</v>
      </c>
      <c r="D11" s="1" t="s">
        <v>20</v>
      </c>
      <c r="F11" s="1" t="s">
        <v>15</v>
      </c>
      <c r="G11" s="20">
        <v>1</v>
      </c>
    </row>
    <row r="12" spans="2:7" ht="15">
      <c r="B12" s="1" t="s">
        <v>8</v>
      </c>
      <c r="C12" s="19">
        <v>191</v>
      </c>
      <c r="D12" s="1" t="s">
        <v>20</v>
      </c>
      <c r="G12" s="17"/>
    </row>
    <row r="13" spans="2:7" ht="15">
      <c r="B13" s="1" t="s">
        <v>28</v>
      </c>
      <c r="C13" s="19">
        <v>92</v>
      </c>
      <c r="D13" s="1" t="s">
        <v>19</v>
      </c>
      <c r="F13" s="1" t="s">
        <v>16</v>
      </c>
      <c r="G13" s="20">
        <v>0.155</v>
      </c>
    </row>
    <row r="14" spans="2:7" ht="15">
      <c r="B14" s="1" t="s">
        <v>9</v>
      </c>
      <c r="C14" s="19">
        <v>85.5</v>
      </c>
      <c r="D14" s="1" t="s">
        <v>19</v>
      </c>
      <c r="F14" s="1" t="s">
        <v>17</v>
      </c>
      <c r="G14" s="20">
        <v>0.1787</v>
      </c>
    </row>
    <row r="15" spans="2:3" ht="15">
      <c r="B15" s="1" t="s">
        <v>4</v>
      </c>
      <c r="C15" s="20">
        <v>0.031</v>
      </c>
    </row>
    <row r="16" spans="2:8" ht="15">
      <c r="B16" s="1" t="s">
        <v>56</v>
      </c>
      <c r="C16" s="20">
        <v>0.035</v>
      </c>
      <c r="F16" s="1" t="s">
        <v>200</v>
      </c>
      <c r="G16" s="21">
        <v>0.8</v>
      </c>
      <c r="H16" s="1" t="s">
        <v>53</v>
      </c>
    </row>
    <row r="17" spans="2:8" ht="15">
      <c r="B17" s="1" t="s">
        <v>10</v>
      </c>
      <c r="C17" s="26">
        <v>0.0001</v>
      </c>
      <c r="D17" s="1" t="s">
        <v>21</v>
      </c>
      <c r="F17" s="1" t="s">
        <v>201</v>
      </c>
      <c r="G17" s="21">
        <v>0.35</v>
      </c>
      <c r="H17" s="1" t="s">
        <v>53</v>
      </c>
    </row>
    <row r="18" spans="2:4" ht="15">
      <c r="B18" s="1" t="s">
        <v>11</v>
      </c>
      <c r="C18" s="23">
        <v>50.31</v>
      </c>
      <c r="D18" s="1" t="s">
        <v>21</v>
      </c>
    </row>
    <row r="19" spans="2:4" ht="15">
      <c r="B19" s="1" t="s">
        <v>230</v>
      </c>
      <c r="C19" s="27">
        <v>45</v>
      </c>
      <c r="D19" s="1" t="s">
        <v>108</v>
      </c>
    </row>
    <row r="20" spans="2:4" ht="15">
      <c r="B20" s="1" t="s">
        <v>233</v>
      </c>
      <c r="C20" s="19">
        <v>8</v>
      </c>
      <c r="D20" s="1" t="s">
        <v>108</v>
      </c>
    </row>
    <row r="22" ht="15.75">
      <c r="B22" s="5" t="s">
        <v>146</v>
      </c>
    </row>
    <row r="23" spans="2:4" ht="15">
      <c r="B23" s="1" t="s">
        <v>12</v>
      </c>
      <c r="C23" s="7">
        <f>calc_dmi</f>
        <v>50.01009941438387</v>
      </c>
      <c r="D23" s="1" t="s">
        <v>21</v>
      </c>
    </row>
    <row r="24" spans="2:4" ht="15">
      <c r="B24" s="1" t="s">
        <v>44</v>
      </c>
      <c r="C24" s="15">
        <f>C149+preg_adg</f>
        <v>1.357611111111111</v>
      </c>
      <c r="D24" s="1" t="s">
        <v>21</v>
      </c>
    </row>
    <row r="26" spans="2:4" ht="15">
      <c r="B26" s="1" t="s">
        <v>147</v>
      </c>
      <c r="C26" s="9">
        <f>C192</f>
        <v>653.0624380800001</v>
      </c>
      <c r="D26" s="1" t="s">
        <v>47</v>
      </c>
    </row>
    <row r="27" spans="2:6" ht="15">
      <c r="B27" s="10" t="s">
        <v>148</v>
      </c>
      <c r="C27" s="9">
        <f>C193</f>
        <v>283.22517600000003</v>
      </c>
      <c r="D27" s="1" t="s">
        <v>47</v>
      </c>
      <c r="E27" s="11">
        <f>C27/C26</f>
        <v>0.4336877448237269</v>
      </c>
      <c r="F27" s="1" t="s">
        <v>177</v>
      </c>
    </row>
    <row r="28" spans="2:6" ht="15">
      <c r="B28" s="10" t="s">
        <v>149</v>
      </c>
      <c r="C28" s="9">
        <f>C194</f>
        <v>369.83726208</v>
      </c>
      <c r="D28" s="1" t="s">
        <v>47</v>
      </c>
      <c r="E28" s="11">
        <f>C28/C26</f>
        <v>0.566312255176273</v>
      </c>
      <c r="F28" s="1" t="s">
        <v>178</v>
      </c>
    </row>
    <row r="29" ht="15">
      <c r="C29" s="9"/>
    </row>
    <row r="30" spans="2:6" ht="15">
      <c r="B30" s="1" t="s">
        <v>172</v>
      </c>
      <c r="C30" s="9">
        <f>C196</f>
        <v>246.24144979200003</v>
      </c>
      <c r="D30" s="1" t="s">
        <v>47</v>
      </c>
      <c r="E30" s="11">
        <f>C30/C26</f>
        <v>0.37705651930609957</v>
      </c>
      <c r="F30" s="1" t="s">
        <v>179</v>
      </c>
    </row>
    <row r="31" spans="2:6" ht="15">
      <c r="B31" s="1" t="s">
        <v>173</v>
      </c>
      <c r="C31" s="9">
        <f>C197</f>
        <v>406.8209882880001</v>
      </c>
      <c r="D31" s="1" t="s">
        <v>47</v>
      </c>
      <c r="E31" s="11">
        <f>1-E30</f>
        <v>0.6229434806939005</v>
      </c>
      <c r="F31" s="1" t="s">
        <v>180</v>
      </c>
    </row>
    <row r="32" ht="15">
      <c r="C32" s="9"/>
    </row>
    <row r="33" spans="2:4" ht="15">
      <c r="B33" s="1" t="s">
        <v>150</v>
      </c>
      <c r="C33" s="9">
        <f>C165</f>
        <v>188.60924764890282</v>
      </c>
      <c r="D33" s="1" t="s">
        <v>47</v>
      </c>
    </row>
    <row r="34" spans="2:4" ht="15">
      <c r="B34" s="1" t="s">
        <v>151</v>
      </c>
      <c r="C34" s="9">
        <f>C160</f>
        <v>9.295143537777776</v>
      </c>
      <c r="D34" s="1" t="s">
        <v>47</v>
      </c>
    </row>
    <row r="35" spans="2:4" ht="15">
      <c r="B35" s="1" t="s">
        <v>152</v>
      </c>
      <c r="C35" s="9">
        <f>C157</f>
        <v>0.0015242742665855216</v>
      </c>
      <c r="D35" s="1" t="s">
        <v>47</v>
      </c>
    </row>
    <row r="36" spans="2:4" ht="15">
      <c r="B36" s="1" t="s">
        <v>153</v>
      </c>
      <c r="C36" s="9">
        <f>SUM(C33:C35)</f>
        <v>197.90591546094717</v>
      </c>
      <c r="D36" s="1" t="s">
        <v>47</v>
      </c>
    </row>
    <row r="38" spans="2:3" ht="15">
      <c r="B38" s="1" t="s">
        <v>154</v>
      </c>
      <c r="C38" s="11">
        <f>C36/C26</f>
        <v>0.30304286990197976</v>
      </c>
    </row>
    <row r="40" spans="2:4" ht="15">
      <c r="B40" s="1" t="s">
        <v>155</v>
      </c>
      <c r="C40" s="9">
        <f>C26-C36</f>
        <v>455.1565226190529</v>
      </c>
      <c r="D40" s="1" t="s">
        <v>156</v>
      </c>
    </row>
    <row r="41" ht="15">
      <c r="C41" s="11">
        <f>C40/C26</f>
        <v>0.6969571300980202</v>
      </c>
    </row>
    <row r="43" spans="2:3" ht="15">
      <c r="B43" s="1" t="s">
        <v>184</v>
      </c>
      <c r="C43" s="9">
        <f>+C40*(C19/100)</f>
        <v>204.8204351785738</v>
      </c>
    </row>
    <row r="44" spans="2:4" ht="15">
      <c r="B44" s="1" t="s">
        <v>185</v>
      </c>
      <c r="C44" s="9">
        <f>IF($C$4=1,C40-C43,"")</f>
        <v>250.3360874404791</v>
      </c>
      <c r="D44" s="1" t="str">
        <f>IF($C$4=1,"g/d","")</f>
        <v>g/d</v>
      </c>
    </row>
    <row r="45" ht="15">
      <c r="C45" s="9"/>
    </row>
    <row r="46" spans="2:4" ht="15">
      <c r="B46" s="1" t="s">
        <v>234</v>
      </c>
      <c r="C46" s="9">
        <f>+C43*(C20/100)</f>
        <v>16.385634814285904</v>
      </c>
      <c r="D46" s="1" t="s">
        <v>47</v>
      </c>
    </row>
    <row r="102" ht="15">
      <c r="A102" s="1" t="s">
        <v>23</v>
      </c>
    </row>
    <row r="104" ht="15">
      <c r="B104" s="1" t="s">
        <v>24</v>
      </c>
    </row>
    <row r="105" ht="15">
      <c r="C105" s="1" t="s">
        <v>31</v>
      </c>
    </row>
    <row r="106" ht="15">
      <c r="B106" s="1" t="s">
        <v>25</v>
      </c>
    </row>
    <row r="107" spans="2:3" ht="15">
      <c r="B107" s="1" t="s">
        <v>26</v>
      </c>
      <c r="C107" s="13">
        <v>0.55</v>
      </c>
    </row>
    <row r="108" spans="2:3" ht="15">
      <c r="B108" s="1" t="s">
        <v>27</v>
      </c>
      <c r="C108" s="13">
        <v>0.85</v>
      </c>
    </row>
    <row r="109" spans="2:3" ht="15">
      <c r="B109" s="1" t="s">
        <v>29</v>
      </c>
      <c r="C109" s="13">
        <v>0.92</v>
      </c>
    </row>
    <row r="110" spans="2:3" ht="15">
      <c r="B110" s="1" t="s">
        <v>30</v>
      </c>
      <c r="C110" s="13">
        <v>0.96</v>
      </c>
    </row>
    <row r="111" spans="2:3" ht="15">
      <c r="B111" s="1" t="s">
        <v>32</v>
      </c>
      <c r="C111" s="13">
        <v>1</v>
      </c>
    </row>
    <row r="112" ht="15">
      <c r="C112" s="1" t="s">
        <v>33</v>
      </c>
    </row>
    <row r="114" spans="2:3" ht="15">
      <c r="B114" s="1" t="s">
        <v>25</v>
      </c>
      <c r="C114" s="1">
        <f>C107*mature_weight</f>
        <v>825.0000000000001</v>
      </c>
    </row>
    <row r="115" spans="2:3" ht="15">
      <c r="B115" s="1" t="s">
        <v>26</v>
      </c>
      <c r="C115" s="1">
        <f>C108*mature_weight</f>
        <v>1275</v>
      </c>
    </row>
    <row r="116" spans="2:3" ht="15">
      <c r="B116" s="1" t="s">
        <v>27</v>
      </c>
      <c r="C116" s="1">
        <f>C109*mature_weight</f>
        <v>1380</v>
      </c>
    </row>
    <row r="117" spans="2:3" ht="15">
      <c r="B117" s="1" t="s">
        <v>29</v>
      </c>
      <c r="C117" s="1">
        <f>C110*mature_weight</f>
        <v>1440</v>
      </c>
    </row>
    <row r="118" spans="2:3" ht="15">
      <c r="B118" s="1" t="s">
        <v>30</v>
      </c>
      <c r="C118" s="1">
        <f>C111*mature_weight</f>
        <v>1500</v>
      </c>
    </row>
    <row r="119" spans="2:3" ht="15">
      <c r="B119" s="1" t="s">
        <v>32</v>
      </c>
      <c r="C119" s="1" t="s">
        <v>34</v>
      </c>
    </row>
    <row r="121" spans="2:3" ht="15">
      <c r="B121" s="1" t="s">
        <v>25</v>
      </c>
      <c r="C121" s="7">
        <f>C122-9</f>
        <v>15</v>
      </c>
    </row>
    <row r="122" spans="2:3" ht="15">
      <c r="B122" s="1" t="s">
        <v>26</v>
      </c>
      <c r="C122" s="7">
        <f>aofc</f>
        <v>24</v>
      </c>
    </row>
    <row r="123" spans="2:3" ht="15">
      <c r="B123" s="1" t="s">
        <v>27</v>
      </c>
      <c r="C123" s="7">
        <f>C122+calving_interval</f>
        <v>37.5</v>
      </c>
    </row>
    <row r="124" spans="2:3" ht="15">
      <c r="B124" s="1" t="s">
        <v>29</v>
      </c>
      <c r="C124" s="7">
        <f>C123+calving_interval</f>
        <v>51</v>
      </c>
    </row>
    <row r="125" spans="2:3" ht="15">
      <c r="B125" s="1" t="s">
        <v>30</v>
      </c>
      <c r="C125" s="7">
        <f>C124+calving_interval</f>
        <v>64.5</v>
      </c>
    </row>
    <row r="126" ht="15">
      <c r="B126" s="1" t="s">
        <v>32</v>
      </c>
    </row>
    <row r="127" ht="15">
      <c r="B127" s="1" t="s">
        <v>35</v>
      </c>
    </row>
    <row r="128" spans="2:4" ht="15">
      <c r="B128" s="1" t="s">
        <v>36</v>
      </c>
      <c r="C128" s="1">
        <f>weight</f>
        <v>1400</v>
      </c>
      <c r="D128" s="1" t="s">
        <v>19</v>
      </c>
    </row>
    <row r="129" spans="2:4" ht="15">
      <c r="B129" s="1" t="s">
        <v>1</v>
      </c>
      <c r="C129" s="1">
        <f>age</f>
        <v>48</v>
      </c>
      <c r="D129" s="1" t="s">
        <v>39</v>
      </c>
    </row>
    <row r="130" spans="2:3" ht="15">
      <c r="B130" s="1" t="s">
        <v>37</v>
      </c>
      <c r="C130" s="7">
        <f>ROUNDDOWN((age-aofc)/calving_interval+IF(age&gt;aofc,1,0),0)</f>
        <v>2</v>
      </c>
    </row>
    <row r="132" ht="15">
      <c r="B132" s="1" t="s">
        <v>38</v>
      </c>
    </row>
    <row r="133" spans="2:4" ht="15">
      <c r="B133" s="1" t="s">
        <v>1</v>
      </c>
      <c r="C133" s="14">
        <f>IF(age&lt;C121,C121,IF(age&lt;C122,C122,IF(age&lt;C123,C123,IF(age&lt;C124,C124,C125))))</f>
        <v>51</v>
      </c>
      <c r="D133" s="1" t="s">
        <v>39</v>
      </c>
    </row>
    <row r="134" spans="2:4" ht="15">
      <c r="B134" s="1" t="s">
        <v>36</v>
      </c>
      <c r="C134" s="14">
        <f>IF(age&lt;C121,C114,IF(age&lt;C122,C115,IF(age&lt;C123,C116,IF(age&lt;C124,C117,C118))))</f>
        <v>1440</v>
      </c>
      <c r="D134" s="1" t="s">
        <v>19</v>
      </c>
    </row>
    <row r="136" spans="2:3" ht="15">
      <c r="B136" s="1" t="s">
        <v>40</v>
      </c>
      <c r="C136" s="9">
        <f>IF(age&gt;C133,(age-(dim/30.4)+calving_interval)-age,(C133-age))*30.4</f>
        <v>91.19999999999999</v>
      </c>
    </row>
    <row r="137" spans="2:4" ht="15">
      <c r="B137" s="1" t="s">
        <v>41</v>
      </c>
      <c r="C137" s="1">
        <f>C134-weight</f>
        <v>40</v>
      </c>
      <c r="D137" s="1" t="s">
        <v>19</v>
      </c>
    </row>
    <row r="138" spans="2:4" ht="15">
      <c r="B138" s="1" t="s">
        <v>42</v>
      </c>
      <c r="C138" s="8">
        <f>IF(C137&lt;0,0,C137/C136)</f>
        <v>0.4385964912280702</v>
      </c>
      <c r="D138" s="1" t="s">
        <v>21</v>
      </c>
    </row>
    <row r="139" ht="15">
      <c r="C139" s="8"/>
    </row>
    <row r="140" spans="2:4" ht="15">
      <c r="B140" s="1" t="s">
        <v>72</v>
      </c>
      <c r="C140" s="9">
        <f>0.96*weight</f>
        <v>1344</v>
      </c>
      <c r="D140" s="1" t="s">
        <v>19</v>
      </c>
    </row>
    <row r="141" spans="2:4" ht="15">
      <c r="B141" s="1" t="s">
        <v>73</v>
      </c>
      <c r="C141" s="9">
        <f>C140-(preg_weight/0.454)</f>
        <v>1305.8404444444445</v>
      </c>
      <c r="D141" s="1" t="s">
        <v>19</v>
      </c>
    </row>
    <row r="142" spans="2:4" ht="15">
      <c r="B142" s="1" t="s">
        <v>74</v>
      </c>
      <c r="C142" s="9">
        <v>478</v>
      </c>
      <c r="D142" s="1" t="s">
        <v>55</v>
      </c>
    </row>
    <row r="143" spans="2:4" ht="15">
      <c r="B143" s="1" t="s">
        <v>71</v>
      </c>
      <c r="C143" s="9">
        <f>C140*((C142/0.454)/mature_weight)</f>
        <v>943.3656387665199</v>
      </c>
      <c r="D143" s="1" t="s">
        <v>19</v>
      </c>
    </row>
    <row r="144" spans="2:4" ht="15">
      <c r="B144" s="1" t="s">
        <v>75</v>
      </c>
      <c r="C144" s="9">
        <f>C143*0.891</f>
        <v>840.5387841409693</v>
      </c>
      <c r="D144" s="1" t="s">
        <v>19</v>
      </c>
    </row>
    <row r="146" ht="15">
      <c r="C146" s="8"/>
    </row>
    <row r="147" ht="15">
      <c r="C147" s="1" t="s">
        <v>77</v>
      </c>
    </row>
    <row r="148" spans="2:4" ht="15">
      <c r="B148" s="1" t="s">
        <v>42</v>
      </c>
      <c r="C148" s="8">
        <f>IF(inputted_adg&gt;0,inputted_adg,calc_target_adg)*0.454</f>
        <v>4.5400000000000006E-05</v>
      </c>
      <c r="D148" s="1" t="s">
        <v>78</v>
      </c>
    </row>
    <row r="149" spans="3:4" ht="15">
      <c r="C149" s="1">
        <f>C148/0.454</f>
        <v>0.0001</v>
      </c>
      <c r="D149" s="1" t="s">
        <v>48</v>
      </c>
    </row>
    <row r="150" spans="2:4" ht="15">
      <c r="B150" s="1" t="s">
        <v>72</v>
      </c>
      <c r="C150" s="9">
        <f>C140*0.454</f>
        <v>610.176</v>
      </c>
      <c r="D150" s="1" t="s">
        <v>55</v>
      </c>
    </row>
    <row r="151" spans="2:4" ht="15">
      <c r="B151" s="1" t="s">
        <v>73</v>
      </c>
      <c r="C151" s="9">
        <f>C141*0.454</f>
        <v>592.8515617777779</v>
      </c>
      <c r="D151" s="1" t="s">
        <v>55</v>
      </c>
    </row>
    <row r="152" spans="2:4" ht="15">
      <c r="B152" s="1" t="s">
        <v>74</v>
      </c>
      <c r="C152" s="9">
        <f>C142</f>
        <v>478</v>
      </c>
      <c r="D152" s="1" t="s">
        <v>55</v>
      </c>
    </row>
    <row r="153" spans="2:4" ht="15">
      <c r="B153" s="1" t="s">
        <v>71</v>
      </c>
      <c r="C153" s="9">
        <f>C143*0.454</f>
        <v>428.288</v>
      </c>
      <c r="D153" s="1" t="s">
        <v>55</v>
      </c>
    </row>
    <row r="154" spans="2:4" ht="15">
      <c r="B154" s="1" t="s">
        <v>75</v>
      </c>
      <c r="C154" s="9">
        <f>C144*0.454</f>
        <v>381.60460800000004</v>
      </c>
      <c r="D154" s="1" t="s">
        <v>55</v>
      </c>
    </row>
    <row r="155" spans="2:4" ht="15">
      <c r="B155" s="1" t="s">
        <v>76</v>
      </c>
      <c r="C155" s="8">
        <f>0.0635*C154^0.75*(0.956*C148)^1.097</f>
        <v>8.981244332790789E-05</v>
      </c>
      <c r="D155" s="1" t="s">
        <v>79</v>
      </c>
    </row>
    <row r="156" spans="2:4" ht="15">
      <c r="B156" s="1" t="s">
        <v>80</v>
      </c>
      <c r="C156" s="7">
        <f>C148*(268-(29.4*(C155/C148)))</f>
        <v>0.00952671416615951</v>
      </c>
      <c r="D156" s="1" t="s">
        <v>47</v>
      </c>
    </row>
    <row r="157" spans="3:4" ht="15">
      <c r="C157" s="7">
        <f>C156*0.16</f>
        <v>0.0015242742665855216</v>
      </c>
      <c r="D157" s="1" t="s">
        <v>81</v>
      </c>
    </row>
    <row r="158" ht="15">
      <c r="B158" s="1" t="s">
        <v>43</v>
      </c>
    </row>
    <row r="159" spans="2:4" ht="15">
      <c r="B159" s="1" t="s">
        <v>45</v>
      </c>
      <c r="C159" s="8">
        <f>IF(dcc&gt;190,((0.69*dcc)-69.2)*((calf_bw*0.454)/45),0)</f>
        <v>58.0946471111111</v>
      </c>
      <c r="D159" s="1" t="s">
        <v>47</v>
      </c>
    </row>
    <row r="160" spans="3:5" ht="15">
      <c r="C160" s="7">
        <f>C159*0.16</f>
        <v>9.295143537777776</v>
      </c>
      <c r="D160" s="1" t="s">
        <v>81</v>
      </c>
      <c r="E160" s="7"/>
    </row>
    <row r="161" spans="2:4" ht="15">
      <c r="B161" s="1" t="s">
        <v>46</v>
      </c>
      <c r="C161" s="8">
        <f>IF(dcc&lt;190,0,664*((calf_bw*0.454)/45))/454</f>
        <v>1.3575111111111111</v>
      </c>
      <c r="D161" s="1" t="s">
        <v>48</v>
      </c>
    </row>
    <row r="162" spans="2:4" ht="15">
      <c r="B162" s="1" t="s">
        <v>54</v>
      </c>
      <c r="C162" s="7">
        <f>IF(dcc&gt;190,(18+((dcc-190)*0.665))*(calf_bw*0.454/45),0)</f>
        <v>17.32443822222222</v>
      </c>
      <c r="D162" s="1" t="s">
        <v>55</v>
      </c>
    </row>
    <row r="163" ht="15">
      <c r="C163" s="7"/>
    </row>
    <row r="164" spans="2:4" ht="15">
      <c r="B164" s="1" t="s">
        <v>4</v>
      </c>
      <c r="C164" s="7">
        <f>milk*milk_protein</f>
        <v>2.6505</v>
      </c>
      <c r="D164" s="1" t="s">
        <v>21</v>
      </c>
    </row>
    <row r="165" spans="3:4" ht="15">
      <c r="C165" s="7">
        <f>C164*454/6.38</f>
        <v>188.60924764890282</v>
      </c>
      <c r="D165" s="1" t="s">
        <v>82</v>
      </c>
    </row>
    <row r="166" ht="15">
      <c r="B166" s="1" t="s">
        <v>49</v>
      </c>
    </row>
    <row r="168" spans="2:3" ht="15">
      <c r="B168" s="1" t="s">
        <v>50</v>
      </c>
      <c r="C168" s="14">
        <f>IF(age&lt;12,0.1128,0.0869)</f>
        <v>0.0869</v>
      </c>
    </row>
    <row r="169" spans="2:3" ht="15">
      <c r="B169" s="1" t="s">
        <v>51</v>
      </c>
      <c r="C169" s="15">
        <f>IF((diet_nel/0.454)&lt;1,0.95,diet_nel/0.454)</f>
        <v>1.762114537444934</v>
      </c>
    </row>
    <row r="170" spans="2:3" ht="15">
      <c r="B170" s="1" t="s">
        <v>52</v>
      </c>
      <c r="C170" s="11">
        <f>1-EXP(-(0.564-0.1214*2)*((dim/7+2.36)))</f>
        <v>0.9995195988831161</v>
      </c>
    </row>
    <row r="172" ht="15">
      <c r="C172" s="1" t="s">
        <v>61</v>
      </c>
    </row>
    <row r="173" spans="2:3" ht="15">
      <c r="B173" s="10" t="s">
        <v>57</v>
      </c>
      <c r="C173" s="15">
        <f>((((weight*0.454)-preg_weight)^0.75)*(0.2435*(diet_nel/0.454)-0.0466*(diet_nel/0.454)^2-C168))/C169</f>
        <v>13.895520477617493</v>
      </c>
    </row>
    <row r="174" spans="2:3" ht="15">
      <c r="B174" s="10" t="s">
        <v>58</v>
      </c>
      <c r="C174" s="15">
        <f>IF(dcc&lt;210,C173,IF(AND(dcc&gt;210,dcc&lt;259),C173*(1+((210-dcc)*0.0025)),(((1.71-(0.69*EXP(0.35*(dcc-280)))))/100)*(weight*0.454)))</f>
        <v>13.895520477617493</v>
      </c>
    </row>
    <row r="175" spans="2:3" ht="15">
      <c r="B175" s="10" t="s">
        <v>59</v>
      </c>
      <c r="C175" s="15">
        <f>0.0185*weight*0.454+0.305*((0.4*(milk*0.454)+15*(milk*0.454)*milk_fat))*lag</f>
        <v>22.70458513413028</v>
      </c>
    </row>
    <row r="176" spans="2:3" ht="15">
      <c r="B176" s="10" t="s">
        <v>60</v>
      </c>
      <c r="C176" s="16">
        <f>((1.97-(0.75*EXP(0.16*(dcc-280))))/100)*(weight*0.454)</f>
        <v>12.521316881887863</v>
      </c>
    </row>
    <row r="177" spans="2:4" ht="15">
      <c r="B177" s="10" t="s">
        <v>62</v>
      </c>
      <c r="C177" s="15">
        <f>IF(animal_type=1,C175,IF(animal_type=2,C176,IF(dcc&gt;210,C174,C173)))/0.454</f>
        <v>50.01009941438387</v>
      </c>
      <c r="D177" s="1" t="s">
        <v>19</v>
      </c>
    </row>
    <row r="182" ht="15">
      <c r="B182" s="1" t="s">
        <v>63</v>
      </c>
    </row>
    <row r="183" spans="2:4" ht="15">
      <c r="B183" s="1" t="s">
        <v>64</v>
      </c>
      <c r="C183" s="15">
        <f>inputted_dmi*diet_hg_proportion</f>
        <v>22.6395</v>
      </c>
      <c r="D183" s="1" t="s">
        <v>19</v>
      </c>
    </row>
    <row r="184" spans="2:4" ht="15">
      <c r="B184" s="1" t="s">
        <v>65</v>
      </c>
      <c r="C184" s="15">
        <f>inputted_dmi*forage_in_diet_pro</f>
        <v>25.155</v>
      </c>
      <c r="D184" s="1" t="s">
        <v>19</v>
      </c>
    </row>
    <row r="185" spans="2:4" ht="15">
      <c r="B185" s="1" t="s">
        <v>66</v>
      </c>
      <c r="C185" s="15">
        <f>C184*home_grown_forage_pro</f>
        <v>25.155</v>
      </c>
      <c r="D185" s="1" t="s">
        <v>19</v>
      </c>
    </row>
    <row r="186" spans="2:4" ht="15">
      <c r="B186" s="1" t="s">
        <v>67</v>
      </c>
      <c r="C186" s="15">
        <f>C183-C185</f>
        <v>-2.5154999999999994</v>
      </c>
      <c r="D186" s="1" t="s">
        <v>19</v>
      </c>
    </row>
    <row r="187" spans="2:3" ht="15">
      <c r="B187" s="1" t="s">
        <v>176</v>
      </c>
      <c r="C187" s="15">
        <f>inputted_dmi-C184</f>
        <v>25.155</v>
      </c>
    </row>
    <row r="188" spans="2:4" ht="15">
      <c r="B188" s="1" t="s">
        <v>68</v>
      </c>
      <c r="C188" s="15">
        <f>inputted_dmi*diet_cp</f>
        <v>8.990397</v>
      </c>
      <c r="D188" s="1" t="s">
        <v>19</v>
      </c>
    </row>
    <row r="189" spans="2:4" ht="15">
      <c r="B189" s="1" t="s">
        <v>69</v>
      </c>
      <c r="C189" s="15">
        <f>C184*forage_cp</f>
        <v>3.899025</v>
      </c>
      <c r="D189" s="1" t="s">
        <v>19</v>
      </c>
    </row>
    <row r="190" spans="2:4" ht="15">
      <c r="B190" s="1" t="s">
        <v>70</v>
      </c>
      <c r="C190" s="15">
        <f>C188-C189</f>
        <v>5.091372</v>
      </c>
      <c r="D190" s="1" t="s">
        <v>19</v>
      </c>
    </row>
    <row r="191" spans="2:3" ht="15">
      <c r="B191" s="1" t="s">
        <v>175</v>
      </c>
      <c r="C191" s="12">
        <f>C190/C187</f>
        <v>0.20239999999999997</v>
      </c>
    </row>
    <row r="192" spans="2:4" ht="15">
      <c r="B192" s="1" t="s">
        <v>68</v>
      </c>
      <c r="C192" s="7">
        <f>C188*0.454*0.16*1000</f>
        <v>653.0624380800001</v>
      </c>
      <c r="D192" s="1" t="s">
        <v>82</v>
      </c>
    </row>
    <row r="193" spans="2:4" ht="15">
      <c r="B193" s="1" t="s">
        <v>69</v>
      </c>
      <c r="C193" s="7">
        <f>C189*0.454*0.16*1000</f>
        <v>283.22517600000003</v>
      </c>
      <c r="D193" s="1" t="s">
        <v>82</v>
      </c>
    </row>
    <row r="194" spans="2:4" ht="15">
      <c r="B194" s="1" t="s">
        <v>70</v>
      </c>
      <c r="C194" s="7">
        <f>C190*0.454*0.16*1000</f>
        <v>369.83726208</v>
      </c>
      <c r="D194" s="1" t="s">
        <v>82</v>
      </c>
    </row>
    <row r="196" spans="2:4" ht="15">
      <c r="B196" s="1" t="s">
        <v>174</v>
      </c>
      <c r="C196" s="7">
        <f>C185*454*forage_cp*0.16+C186*454*C191*0.16</f>
        <v>246.24144979200003</v>
      </c>
      <c r="D196" s="1" t="s">
        <v>47</v>
      </c>
    </row>
    <row r="197" spans="2:4" ht="15">
      <c r="B197" s="1" t="s">
        <v>173</v>
      </c>
      <c r="C197" s="7">
        <f>C192-C196</f>
        <v>406.8209882880001</v>
      </c>
      <c r="D197" s="1" t="s">
        <v>47</v>
      </c>
    </row>
  </sheetData>
  <sheetProtection sheet="1" objects="1" scenarios="1" selectLockedCells="1"/>
  <printOptions/>
  <pageMargins left="0.5" right="0.5" top="1" bottom="0.5" header="0.5" footer="0.5"/>
  <pageSetup fitToHeight="1" fitToWidth="1" horizontalDpi="600" verticalDpi="600" orientation="portrait" scale="92" r:id="rId2"/>
  <headerFooter alignWithMargins="0">
    <oddHeader>&amp;C&amp;D Single Cow Results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M19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3.57421875" style="1" customWidth="1"/>
    <col min="2" max="2" width="34.140625" style="1" customWidth="1"/>
    <col min="3" max="3" width="11.00390625" style="1" customWidth="1"/>
    <col min="4" max="5" width="9.140625" style="1" customWidth="1"/>
    <col min="6" max="6" width="9.28125" style="1" customWidth="1"/>
    <col min="7" max="8" width="9.00390625" style="1" customWidth="1"/>
    <col min="9" max="16384" width="9.140625" style="1" customWidth="1"/>
  </cols>
  <sheetData>
    <row r="1" ht="15"/>
    <row r="2" ht="15"/>
    <row r="3" ht="15.75">
      <c r="B3" s="5" t="s">
        <v>159</v>
      </c>
    </row>
    <row r="4" spans="2:4" ht="15">
      <c r="B4" s="1" t="s">
        <v>3</v>
      </c>
      <c r="C4" s="19">
        <v>1500</v>
      </c>
      <c r="D4" s="1" t="s">
        <v>248</v>
      </c>
    </row>
    <row r="5" spans="2:4" ht="15">
      <c r="B5" s="1" t="s">
        <v>5</v>
      </c>
      <c r="C5" s="19">
        <v>24</v>
      </c>
      <c r="D5" s="1" t="s">
        <v>18</v>
      </c>
    </row>
    <row r="6" spans="2:4" ht="15">
      <c r="B6" s="1" t="s">
        <v>6</v>
      </c>
      <c r="C6" s="19">
        <v>13</v>
      </c>
      <c r="D6" s="1" t="s">
        <v>18</v>
      </c>
    </row>
    <row r="7" spans="2:4" ht="15">
      <c r="B7" s="1" t="s">
        <v>28</v>
      </c>
      <c r="C7" s="19">
        <v>95</v>
      </c>
      <c r="D7" s="1" t="s">
        <v>248</v>
      </c>
    </row>
    <row r="8" spans="2:4" ht="15">
      <c r="B8" s="1" t="s">
        <v>170</v>
      </c>
      <c r="C8" s="19">
        <v>365</v>
      </c>
      <c r="D8" s="1" t="s">
        <v>20</v>
      </c>
    </row>
    <row r="9" ht="15">
      <c r="C9" s="3"/>
    </row>
    <row r="11" spans="2:12" ht="15">
      <c r="B11" s="33" t="s">
        <v>157</v>
      </c>
      <c r="C11" s="10" t="s">
        <v>160</v>
      </c>
      <c r="D11" s="10" t="s">
        <v>161</v>
      </c>
      <c r="E11" s="10" t="s">
        <v>162</v>
      </c>
      <c r="F11" s="10" t="s">
        <v>163</v>
      </c>
      <c r="G11" s="10" t="s">
        <v>164</v>
      </c>
      <c r="H11" s="10" t="s">
        <v>165</v>
      </c>
      <c r="I11" s="10" t="s">
        <v>166</v>
      </c>
      <c r="J11" s="1" t="s">
        <v>167</v>
      </c>
      <c r="K11" s="1" t="s">
        <v>168</v>
      </c>
      <c r="L11" s="1" t="s">
        <v>169</v>
      </c>
    </row>
    <row r="12" spans="2:13" ht="15">
      <c r="B12" s="30" t="s">
        <v>208</v>
      </c>
      <c r="C12" s="19">
        <v>1</v>
      </c>
      <c r="D12" s="19">
        <v>2</v>
      </c>
      <c r="E12" s="19">
        <v>2</v>
      </c>
      <c r="F12" s="19">
        <v>3</v>
      </c>
      <c r="G12" s="19">
        <v>3</v>
      </c>
      <c r="H12" s="19">
        <v>3</v>
      </c>
      <c r="I12" s="19">
        <v>3</v>
      </c>
      <c r="J12" s="19">
        <v>3</v>
      </c>
      <c r="K12" s="19">
        <v>3</v>
      </c>
      <c r="L12" s="19">
        <v>3</v>
      </c>
      <c r="M12" s="28"/>
    </row>
    <row r="13" spans="2:12" ht="15">
      <c r="B13" s="32" t="s">
        <v>158</v>
      </c>
      <c r="C13" s="19">
        <v>100</v>
      </c>
      <c r="D13" s="19">
        <v>13</v>
      </c>
      <c r="E13" s="19">
        <v>7</v>
      </c>
      <c r="F13" s="19">
        <v>8</v>
      </c>
      <c r="G13" s="19">
        <v>8</v>
      </c>
      <c r="H13" s="19">
        <v>16</v>
      </c>
      <c r="I13" s="19">
        <v>28</v>
      </c>
      <c r="J13" s="19">
        <v>0</v>
      </c>
      <c r="K13" s="19">
        <v>0</v>
      </c>
      <c r="L13" s="19">
        <v>0</v>
      </c>
    </row>
    <row r="14" spans="2:12" ht="15">
      <c r="B14" s="32" t="s">
        <v>209</v>
      </c>
      <c r="C14" s="19">
        <v>47</v>
      </c>
      <c r="D14" s="19">
        <v>47</v>
      </c>
      <c r="E14" s="19">
        <v>45</v>
      </c>
      <c r="F14" s="19">
        <v>8</v>
      </c>
      <c r="G14" s="19">
        <v>10</v>
      </c>
      <c r="H14" s="19">
        <v>14</v>
      </c>
      <c r="I14" s="19">
        <v>18</v>
      </c>
      <c r="J14" s="19">
        <v>1</v>
      </c>
      <c r="K14" s="19">
        <v>1</v>
      </c>
      <c r="L14" s="19">
        <v>1</v>
      </c>
    </row>
    <row r="15" spans="2:12" ht="15">
      <c r="B15" s="32" t="s">
        <v>210</v>
      </c>
      <c r="C15" s="19">
        <v>1500</v>
      </c>
      <c r="D15" s="19">
        <v>1500</v>
      </c>
      <c r="E15" s="19">
        <v>1400</v>
      </c>
      <c r="F15" s="19">
        <v>450</v>
      </c>
      <c r="G15" s="19">
        <v>700</v>
      </c>
      <c r="H15" s="19">
        <v>900</v>
      </c>
      <c r="I15" s="19">
        <v>1050</v>
      </c>
      <c r="J15" s="19">
        <v>800</v>
      </c>
      <c r="K15" s="19">
        <v>1000</v>
      </c>
      <c r="L15" s="19">
        <v>1250</v>
      </c>
    </row>
    <row r="16" spans="2:12" ht="15">
      <c r="B16" s="32" t="s">
        <v>7</v>
      </c>
      <c r="C16" s="19">
        <v>140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15">
      <c r="B17" s="32" t="s">
        <v>8</v>
      </c>
      <c r="C17" s="19">
        <v>50</v>
      </c>
      <c r="D17" s="19">
        <v>215</v>
      </c>
      <c r="E17" s="19">
        <v>265</v>
      </c>
      <c r="F17" s="19">
        <v>0</v>
      </c>
      <c r="G17" s="19">
        <v>0</v>
      </c>
      <c r="H17" s="19">
        <v>30</v>
      </c>
      <c r="I17" s="19">
        <v>130</v>
      </c>
      <c r="J17" s="19">
        <v>0</v>
      </c>
      <c r="K17" s="19">
        <v>10</v>
      </c>
      <c r="L17" s="19">
        <v>191</v>
      </c>
    </row>
    <row r="18" spans="2:12" ht="15">
      <c r="B18" s="32" t="s">
        <v>211</v>
      </c>
      <c r="C18" s="19">
        <v>80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>
      <c r="B19" s="32" t="s">
        <v>206</v>
      </c>
      <c r="C19" s="20">
        <v>0.033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2:12" ht="15">
      <c r="B20" s="32" t="s">
        <v>212</v>
      </c>
      <c r="C20" s="20">
        <v>0.04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2:12" ht="15">
      <c r="B21" s="32" t="s">
        <v>213</v>
      </c>
      <c r="C21" s="22">
        <v>0</v>
      </c>
      <c r="D21" s="22">
        <v>0</v>
      </c>
      <c r="E21" s="22">
        <v>0</v>
      </c>
      <c r="F21" s="22">
        <v>2.1</v>
      </c>
      <c r="G21" s="22">
        <v>1.99</v>
      </c>
      <c r="H21" s="22">
        <v>2.08</v>
      </c>
      <c r="I21" s="22">
        <v>2.01</v>
      </c>
      <c r="J21" s="22">
        <v>1.5</v>
      </c>
      <c r="K21" s="22">
        <v>1.25</v>
      </c>
      <c r="L21" s="22">
        <v>1.5</v>
      </c>
    </row>
    <row r="22" spans="2:12" ht="15">
      <c r="B22" s="32" t="s">
        <v>214</v>
      </c>
      <c r="C22" s="23">
        <v>54.6</v>
      </c>
      <c r="D22" s="23">
        <v>30.8</v>
      </c>
      <c r="E22" s="23">
        <v>26</v>
      </c>
      <c r="F22" s="23">
        <v>12</v>
      </c>
      <c r="G22" s="23">
        <v>16.7</v>
      </c>
      <c r="H22" s="23">
        <v>23.3</v>
      </c>
      <c r="I22" s="23">
        <v>26.2</v>
      </c>
      <c r="J22" s="23">
        <v>15</v>
      </c>
      <c r="K22" s="23">
        <v>20</v>
      </c>
      <c r="L22" s="23">
        <v>22</v>
      </c>
    </row>
    <row r="23" spans="2:12" ht="15">
      <c r="B23" s="32" t="s">
        <v>231</v>
      </c>
      <c r="C23" s="21">
        <v>45</v>
      </c>
      <c r="D23" s="21">
        <v>37</v>
      </c>
      <c r="E23" s="21">
        <v>37</v>
      </c>
      <c r="F23" s="21">
        <v>37</v>
      </c>
      <c r="G23" s="21">
        <v>37</v>
      </c>
      <c r="H23" s="21">
        <v>37</v>
      </c>
      <c r="I23" s="21">
        <v>37</v>
      </c>
      <c r="J23" s="21">
        <v>37</v>
      </c>
      <c r="K23" s="21">
        <v>37</v>
      </c>
      <c r="L23" s="21">
        <v>37</v>
      </c>
    </row>
    <row r="24" spans="2:12" ht="15">
      <c r="B24" s="32" t="s">
        <v>233</v>
      </c>
      <c r="C24" s="21">
        <v>8</v>
      </c>
      <c r="D24" s="21">
        <v>8</v>
      </c>
      <c r="E24" s="21">
        <v>8</v>
      </c>
      <c r="F24" s="21">
        <v>8</v>
      </c>
      <c r="G24" s="21">
        <v>8</v>
      </c>
      <c r="H24" s="21">
        <v>8</v>
      </c>
      <c r="I24" s="21">
        <v>8</v>
      </c>
      <c r="J24" s="21">
        <v>8</v>
      </c>
      <c r="K24" s="21">
        <v>8</v>
      </c>
      <c r="L24" s="21">
        <v>8</v>
      </c>
    </row>
    <row r="25" ht="15">
      <c r="B25" s="33" t="s">
        <v>171</v>
      </c>
    </row>
    <row r="26" spans="2:12" ht="15">
      <c r="B26" s="32" t="s">
        <v>14</v>
      </c>
      <c r="C26" s="24">
        <v>0.55</v>
      </c>
      <c r="D26" s="24">
        <v>0.99</v>
      </c>
      <c r="E26" s="24">
        <v>0.52</v>
      </c>
      <c r="F26" s="24">
        <v>0.68</v>
      </c>
      <c r="G26" s="24">
        <v>0.68</v>
      </c>
      <c r="H26" s="24">
        <v>0.91</v>
      </c>
      <c r="I26" s="24">
        <v>0.8</v>
      </c>
      <c r="J26" s="24">
        <v>0.75</v>
      </c>
      <c r="K26" s="24">
        <v>0.8</v>
      </c>
      <c r="L26" s="24">
        <v>0.8</v>
      </c>
    </row>
    <row r="27" spans="2:12" ht="15">
      <c r="B27" s="32" t="s">
        <v>13</v>
      </c>
      <c r="C27" s="24">
        <v>0.55</v>
      </c>
      <c r="D27" s="24">
        <v>0.99</v>
      </c>
      <c r="E27" s="24">
        <v>0.52</v>
      </c>
      <c r="F27" s="24">
        <v>0.68</v>
      </c>
      <c r="G27" s="24">
        <v>0.68</v>
      </c>
      <c r="H27" s="24">
        <v>0.91</v>
      </c>
      <c r="I27" s="24">
        <v>0.8</v>
      </c>
      <c r="J27" s="24">
        <v>0.75</v>
      </c>
      <c r="K27" s="24">
        <v>0.8</v>
      </c>
      <c r="L27" s="24">
        <v>0.8</v>
      </c>
    </row>
    <row r="28" spans="2:12" ht="15">
      <c r="B28" s="32" t="s">
        <v>15</v>
      </c>
      <c r="C28" s="24">
        <v>1</v>
      </c>
      <c r="D28" s="24">
        <v>1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</row>
    <row r="29" spans="2:12" ht="15">
      <c r="B29" s="32" t="s">
        <v>16</v>
      </c>
      <c r="C29" s="20">
        <v>0.155</v>
      </c>
      <c r="D29" s="20">
        <v>0.155</v>
      </c>
      <c r="E29" s="20">
        <v>0.155</v>
      </c>
      <c r="F29" s="20">
        <v>0.155</v>
      </c>
      <c r="G29" s="20">
        <v>0.155</v>
      </c>
      <c r="H29" s="20">
        <v>0.155</v>
      </c>
      <c r="I29" s="20">
        <v>0.155</v>
      </c>
      <c r="J29" s="20">
        <v>0.155</v>
      </c>
      <c r="K29" s="20">
        <v>0.155</v>
      </c>
      <c r="L29" s="20">
        <v>0.155</v>
      </c>
    </row>
    <row r="30" spans="2:12" ht="15">
      <c r="B30" s="32" t="s">
        <v>17</v>
      </c>
      <c r="C30" s="20">
        <v>0.163</v>
      </c>
      <c r="D30" s="20">
        <v>0.106</v>
      </c>
      <c r="E30" s="20">
        <v>0.161</v>
      </c>
      <c r="F30" s="20">
        <v>0.127</v>
      </c>
      <c r="G30" s="20">
        <v>0.107</v>
      </c>
      <c r="H30" s="20">
        <v>0.128</v>
      </c>
      <c r="I30" s="20">
        <v>0.113</v>
      </c>
      <c r="J30" s="20">
        <v>0.17</v>
      </c>
      <c r="K30" s="20">
        <v>0.17</v>
      </c>
      <c r="L30" s="20">
        <v>0.17</v>
      </c>
    </row>
    <row r="31" spans="2:12" ht="15">
      <c r="B31" s="32" t="s">
        <v>215</v>
      </c>
      <c r="C31" s="21">
        <v>0.73</v>
      </c>
      <c r="D31" s="21">
        <v>0.61</v>
      </c>
      <c r="E31" s="21">
        <v>0.71</v>
      </c>
      <c r="F31" s="21">
        <v>0.72</v>
      </c>
      <c r="G31" s="21">
        <v>0.71</v>
      </c>
      <c r="H31" s="21">
        <v>0.64</v>
      </c>
      <c r="I31" s="21">
        <v>0.65</v>
      </c>
      <c r="J31" s="21">
        <v>0.8</v>
      </c>
      <c r="K31" s="21">
        <v>0.8</v>
      </c>
      <c r="L31" s="21">
        <v>0.8</v>
      </c>
    </row>
    <row r="32" spans="2:12" ht="15">
      <c r="B32" s="32" t="s">
        <v>216</v>
      </c>
      <c r="C32" s="21">
        <v>0.45</v>
      </c>
      <c r="D32" s="21">
        <v>0.24</v>
      </c>
      <c r="E32" s="21">
        <v>0.4</v>
      </c>
      <c r="F32" s="21">
        <v>0.44</v>
      </c>
      <c r="G32" s="21">
        <v>0.43</v>
      </c>
      <c r="H32" s="21">
        <v>0.38</v>
      </c>
      <c r="I32" s="21">
        <v>0.39</v>
      </c>
      <c r="J32" s="21">
        <v>0.35</v>
      </c>
      <c r="K32" s="21">
        <v>0.35</v>
      </c>
      <c r="L32" s="21">
        <v>0.35</v>
      </c>
    </row>
    <row r="33" spans="2:12" ht="15">
      <c r="B33" s="31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ht="15">
      <c r="B34" s="33" t="s">
        <v>146</v>
      </c>
    </row>
    <row r="35" spans="2:12" ht="15">
      <c r="B35" s="32" t="s">
        <v>217</v>
      </c>
      <c r="C35" s="7">
        <f>C177</f>
        <v>52.131453030410114</v>
      </c>
      <c r="D35" s="7">
        <f>D177</f>
        <v>27.749999999999996</v>
      </c>
      <c r="E35" s="7">
        <f aca="true" t="shared" si="0" ref="E35:L35">E177</f>
        <v>25.9</v>
      </c>
      <c r="F35" s="7">
        <f t="shared" si="0"/>
        <v>8.325</v>
      </c>
      <c r="G35" s="7">
        <f t="shared" si="0"/>
        <v>12.95</v>
      </c>
      <c r="H35" s="7">
        <f t="shared" si="0"/>
        <v>16.65</v>
      </c>
      <c r="I35" s="7">
        <f t="shared" si="0"/>
        <v>19.425</v>
      </c>
      <c r="J35" s="7">
        <f t="shared" si="0"/>
        <v>14.799999999999999</v>
      </c>
      <c r="K35" s="7">
        <f t="shared" si="0"/>
        <v>18.5</v>
      </c>
      <c r="L35" s="7">
        <f t="shared" si="0"/>
        <v>23.125</v>
      </c>
    </row>
    <row r="36" spans="2:12" ht="15">
      <c r="B36" s="32" t="s">
        <v>218</v>
      </c>
      <c r="C36" s="8">
        <f>C149+C161</f>
        <v>0</v>
      </c>
      <c r="D36" s="8">
        <f>D149+D161</f>
        <v>1.4017777777777778</v>
      </c>
      <c r="E36" s="8">
        <f aca="true" t="shared" si="1" ref="E36:L36">E149+E161</f>
        <v>1.6649356725146198</v>
      </c>
      <c r="F36" s="8">
        <f t="shared" si="1"/>
        <v>2.1</v>
      </c>
      <c r="G36" s="8">
        <f t="shared" si="1"/>
        <v>1.99</v>
      </c>
      <c r="H36" s="8">
        <f t="shared" si="1"/>
        <v>2.08</v>
      </c>
      <c r="I36" s="8">
        <f t="shared" si="1"/>
        <v>2.01</v>
      </c>
      <c r="J36" s="8">
        <f t="shared" si="1"/>
        <v>1.5</v>
      </c>
      <c r="K36" s="8">
        <f t="shared" si="1"/>
        <v>1.25</v>
      </c>
      <c r="L36" s="8">
        <f t="shared" si="1"/>
        <v>2.901777777777778</v>
      </c>
    </row>
    <row r="37" ht="15">
      <c r="B37" s="32"/>
    </row>
    <row r="38" spans="2:13" ht="15">
      <c r="B38" s="32" t="s">
        <v>220</v>
      </c>
      <c r="C38" s="9">
        <f aca="true" t="shared" si="2" ref="C38:L38">C192*C$13*$C$8/1000/0.454</f>
        <v>51974.832</v>
      </c>
      <c r="D38" s="9">
        <f t="shared" si="2"/>
        <v>2478.63616</v>
      </c>
      <c r="E38" s="9">
        <f t="shared" si="2"/>
        <v>1711.2368000000004</v>
      </c>
      <c r="F38" s="9">
        <f t="shared" si="2"/>
        <v>712.0128000000001</v>
      </c>
      <c r="G38" s="9">
        <f t="shared" si="2"/>
        <v>834.83968</v>
      </c>
      <c r="H38" s="9">
        <f t="shared" si="2"/>
        <v>2786.7545600000003</v>
      </c>
      <c r="I38" s="9">
        <f t="shared" si="2"/>
        <v>4841.173119999999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1" t="s">
        <v>181</v>
      </c>
    </row>
    <row r="39" spans="2:13" ht="15">
      <c r="B39" s="34" t="s">
        <v>221</v>
      </c>
      <c r="C39" s="9">
        <f aca="true" t="shared" si="3" ref="C39:L39">C193*C$13*$C$8/1000/0.454</f>
        <v>27183.156000000006</v>
      </c>
      <c r="D39" s="9">
        <f t="shared" si="3"/>
        <v>3588.176592</v>
      </c>
      <c r="E39" s="9">
        <f t="shared" si="3"/>
        <v>856.68128</v>
      </c>
      <c r="F39" s="9">
        <f t="shared" si="3"/>
        <v>590.9145599999999</v>
      </c>
      <c r="G39" s="9">
        <f t="shared" si="3"/>
        <v>822.3560960000001</v>
      </c>
      <c r="H39" s="9">
        <f t="shared" si="3"/>
        <v>3070.8728960000008</v>
      </c>
      <c r="I39" s="9">
        <f t="shared" si="3"/>
        <v>5312.437760000001</v>
      </c>
      <c r="J39" s="9">
        <f t="shared" si="3"/>
        <v>0</v>
      </c>
      <c r="K39" s="9">
        <f t="shared" si="3"/>
        <v>0</v>
      </c>
      <c r="L39" s="9">
        <f t="shared" si="3"/>
        <v>0</v>
      </c>
      <c r="M39" s="1" t="s">
        <v>181</v>
      </c>
    </row>
    <row r="40" spans="2:13" ht="15">
      <c r="B40" s="34" t="s">
        <v>222</v>
      </c>
      <c r="C40" s="9">
        <f>C194*C$13*$C$8/1000/0.454</f>
        <v>24791.676</v>
      </c>
      <c r="D40" s="9">
        <f>D194*D$13*$C$8/1000</f>
        <v>-503.73135612799996</v>
      </c>
      <c r="E40" s="9">
        <f aca="true" t="shared" si="4" ref="E40:L40">E194*E$13*$C$8/1000/0.454</f>
        <v>854.55552</v>
      </c>
      <c r="F40" s="9">
        <f t="shared" si="4"/>
        <v>121.09824000000005</v>
      </c>
      <c r="G40" s="9">
        <f t="shared" si="4"/>
        <v>12.483583999999935</v>
      </c>
      <c r="H40" s="9">
        <f t="shared" si="4"/>
        <v>-284.11833600000045</v>
      </c>
      <c r="I40" s="9">
        <f t="shared" si="4"/>
        <v>-471.26464000000044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1" t="s">
        <v>181</v>
      </c>
    </row>
    <row r="41" spans="2:12" ht="15">
      <c r="B41" s="32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3" ht="15">
      <c r="B42" s="32" t="s">
        <v>223</v>
      </c>
      <c r="C42" s="9">
        <f aca="true" t="shared" si="5" ref="C42:L42">C196*C$13*$C$8/1000/0.454</f>
        <v>27183.156000000006</v>
      </c>
      <c r="D42" s="9">
        <f t="shared" si="5"/>
        <v>3588.176592</v>
      </c>
      <c r="E42" s="9">
        <f t="shared" si="5"/>
        <v>856.6812799999998</v>
      </c>
      <c r="F42" s="9">
        <f t="shared" si="5"/>
        <v>590.9145599999999</v>
      </c>
      <c r="G42" s="9">
        <f t="shared" si="5"/>
        <v>822.3560960000001</v>
      </c>
      <c r="H42" s="9">
        <f t="shared" si="5"/>
        <v>3070.8728960000003</v>
      </c>
      <c r="I42" s="9">
        <f t="shared" si="5"/>
        <v>5312.437760000001</v>
      </c>
      <c r="J42" s="9">
        <f t="shared" si="5"/>
        <v>0</v>
      </c>
      <c r="K42" s="9">
        <f t="shared" si="5"/>
        <v>0</v>
      </c>
      <c r="L42" s="9">
        <f t="shared" si="5"/>
        <v>0</v>
      </c>
      <c r="M42" s="1" t="s">
        <v>181</v>
      </c>
    </row>
    <row r="43" spans="2:13" ht="15">
      <c r="B43" s="32" t="s">
        <v>224</v>
      </c>
      <c r="C43" s="9">
        <f aca="true" t="shared" si="6" ref="C43:H43">C197*C$13*$C$8/1000/0.454</f>
        <v>24791.676000000003</v>
      </c>
      <c r="D43" s="9">
        <f t="shared" si="6"/>
        <v>-1109.5404319999998</v>
      </c>
      <c r="E43" s="9">
        <f t="shared" si="6"/>
        <v>854.5555200000001</v>
      </c>
      <c r="F43" s="9">
        <f t="shared" si="6"/>
        <v>121.09824000000008</v>
      </c>
      <c r="G43" s="9">
        <f t="shared" si="6"/>
        <v>12.483584000000043</v>
      </c>
      <c r="H43" s="9">
        <f t="shared" si="6"/>
        <v>-284.11833600000017</v>
      </c>
      <c r="I43" s="9">
        <f>I197*I$13*$C$8/1000</f>
        <v>-213.95414656000017</v>
      </c>
      <c r="J43" s="9">
        <f>J197*J$13*$C$8/1000/0.454</f>
        <v>0</v>
      </c>
      <c r="K43" s="9">
        <f>K197*K$13*$C$8/1000/0.454</f>
        <v>0</v>
      </c>
      <c r="L43" s="9">
        <f>L197*L$13*$C$8/1000/0.454</f>
        <v>0</v>
      </c>
      <c r="M43" s="1" t="s">
        <v>181</v>
      </c>
    </row>
    <row r="44" spans="2:12" ht="15">
      <c r="B44" s="32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5">
      <c r="B45" s="32" t="s">
        <v>225</v>
      </c>
      <c r="C45" s="9">
        <f aca="true" t="shared" si="7" ref="C45:L45">C165*C$13*$C$8/1000/0.454</f>
        <v>15103.448275862069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</row>
    <row r="46" spans="2:12" ht="15">
      <c r="B46" s="32" t="s">
        <v>226</v>
      </c>
      <c r="C46" s="9">
        <f aca="true" t="shared" si="8" ref="C46:L46">C160*C$13*$C$8/1000/0.454</f>
        <v>0</v>
      </c>
      <c r="D46" s="9">
        <f t="shared" si="8"/>
        <v>126.85810222222221</v>
      </c>
      <c r="E46" s="9">
        <f t="shared" si="8"/>
        <v>98.08247555555556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</row>
    <row r="47" spans="2:12" ht="15">
      <c r="B47" s="32" t="s">
        <v>227</v>
      </c>
      <c r="C47" s="9">
        <f aca="true" t="shared" si="9" ref="C47:L47">C157*C$13*$C$8/1000/0.454</f>
        <v>0</v>
      </c>
      <c r="D47" s="9">
        <f t="shared" si="9"/>
        <v>0</v>
      </c>
      <c r="E47" s="9">
        <f t="shared" si="9"/>
        <v>15.357786658626438</v>
      </c>
      <c r="F47" s="9">
        <f t="shared" si="9"/>
        <v>198.6778056113703</v>
      </c>
      <c r="G47" s="9">
        <f t="shared" si="9"/>
        <v>164.6558574993831</v>
      </c>
      <c r="H47" s="9">
        <f t="shared" si="9"/>
        <v>306.31054396518033</v>
      </c>
      <c r="I47" s="9">
        <f t="shared" si="9"/>
        <v>474.2527056426294</v>
      </c>
      <c r="J47" s="9">
        <f t="shared" si="9"/>
        <v>0</v>
      </c>
      <c r="K47" s="9">
        <f t="shared" si="9"/>
        <v>0</v>
      </c>
      <c r="L47" s="9">
        <f t="shared" si="9"/>
        <v>0</v>
      </c>
    </row>
    <row r="48" spans="2:12" ht="15">
      <c r="B48" s="32" t="s">
        <v>228</v>
      </c>
      <c r="C48" s="9">
        <f aca="true" t="shared" si="10" ref="C48:H48">SUM(C45:C47)</f>
        <v>15103.448275862069</v>
      </c>
      <c r="D48" s="9">
        <f t="shared" si="10"/>
        <v>126.85810222222221</v>
      </c>
      <c r="E48" s="9">
        <f t="shared" si="10"/>
        <v>113.440262214182</v>
      </c>
      <c r="F48" s="9">
        <f t="shared" si="10"/>
        <v>198.6778056113703</v>
      </c>
      <c r="G48" s="9">
        <f t="shared" si="10"/>
        <v>164.6558574993831</v>
      </c>
      <c r="H48" s="9">
        <f t="shared" si="10"/>
        <v>306.31054396518033</v>
      </c>
      <c r="I48" s="9">
        <f>SUM(I45:I47)</f>
        <v>474.2527056426294</v>
      </c>
      <c r="J48" s="9">
        <f>SUM(J45:J47)</f>
        <v>0</v>
      </c>
      <c r="K48" s="9">
        <f>SUM(K45:K47)</f>
        <v>0</v>
      </c>
      <c r="L48" s="9">
        <f>SUM(L45:L47)</f>
        <v>0</v>
      </c>
    </row>
    <row r="49" ht="15">
      <c r="B49" s="32"/>
    </row>
    <row r="50" spans="2:12" ht="15">
      <c r="B50" s="32" t="s">
        <v>154</v>
      </c>
      <c r="C50" s="11">
        <f>C48/C38</f>
        <v>0.29059157470411967</v>
      </c>
      <c r="D50" s="11">
        <f>D48/D38</f>
        <v>0.051180606605134904</v>
      </c>
      <c r="E50" s="11">
        <f aca="true" t="shared" si="11" ref="E50:L50">E48/E38</f>
        <v>0.06629138773440471</v>
      </c>
      <c r="F50" s="11">
        <f t="shared" si="11"/>
        <v>0.27903684542099566</v>
      </c>
      <c r="G50" s="11">
        <f t="shared" si="11"/>
        <v>0.1972305119701343</v>
      </c>
      <c r="H50" s="11">
        <f t="shared" si="11"/>
        <v>0.1099165848194325</v>
      </c>
      <c r="I50" s="11">
        <f t="shared" si="11"/>
        <v>0.09796235207606654</v>
      </c>
      <c r="J50" s="11" t="e">
        <f t="shared" si="11"/>
        <v>#DIV/0!</v>
      </c>
      <c r="K50" s="11" t="e">
        <f t="shared" si="11"/>
        <v>#DIV/0!</v>
      </c>
      <c r="L50" s="11" t="e">
        <f t="shared" si="11"/>
        <v>#DIV/0!</v>
      </c>
    </row>
    <row r="51" ht="15">
      <c r="B51" s="32"/>
    </row>
    <row r="52" spans="2:12" ht="15">
      <c r="B52" s="32" t="s">
        <v>229</v>
      </c>
      <c r="C52" s="9">
        <f>(C38-C48)</f>
        <v>36871.38372413794</v>
      </c>
      <c r="D52" s="9">
        <f>(D38-D48)</f>
        <v>2351.7780577777776</v>
      </c>
      <c r="E52" s="9">
        <f>(E38-E48)</f>
        <v>1597.7965377858184</v>
      </c>
      <c r="F52" s="9">
        <f>(F38-F48)</f>
        <v>513.3349943886298</v>
      </c>
      <c r="G52" s="9">
        <f>(G38-G48)</f>
        <v>670.183822500617</v>
      </c>
      <c r="H52" s="9">
        <f>H38-H48</f>
        <v>2480.44401603482</v>
      </c>
      <c r="I52" s="9">
        <f>I38-I48</f>
        <v>4366.920414357369</v>
      </c>
      <c r="J52" s="9">
        <f>J38-J48</f>
        <v>0</v>
      </c>
      <c r="K52" s="9">
        <f>K38-K48</f>
        <v>0</v>
      </c>
      <c r="L52" s="9">
        <f>L38-L48</f>
        <v>0</v>
      </c>
    </row>
    <row r="53" spans="2:12" ht="15">
      <c r="B53" s="32" t="s">
        <v>219</v>
      </c>
      <c r="C53" s="11">
        <f>C52/C38</f>
        <v>0.7094084252958804</v>
      </c>
      <c r="D53" s="11">
        <f aca="true" t="shared" si="12" ref="D53:L53">D52/D38</f>
        <v>0.948819393394865</v>
      </c>
      <c r="E53" s="11">
        <f t="shared" si="12"/>
        <v>0.9337086122655953</v>
      </c>
      <c r="F53" s="11">
        <f t="shared" si="12"/>
        <v>0.7209631545790043</v>
      </c>
      <c r="G53" s="11">
        <f t="shared" si="12"/>
        <v>0.8027694880298658</v>
      </c>
      <c r="H53" s="11">
        <f t="shared" si="12"/>
        <v>0.8900834151805674</v>
      </c>
      <c r="I53" s="11">
        <f t="shared" si="12"/>
        <v>0.9020376479239334</v>
      </c>
      <c r="J53" s="11" t="e">
        <f t="shared" si="12"/>
        <v>#DIV/0!</v>
      </c>
      <c r="K53" s="11" t="e">
        <f t="shared" si="12"/>
        <v>#DIV/0!</v>
      </c>
      <c r="L53" s="11" t="e">
        <f t="shared" si="12"/>
        <v>#DIV/0!</v>
      </c>
    </row>
    <row r="54" ht="15">
      <c r="B54" s="32"/>
    </row>
    <row r="55" spans="2:12" ht="15">
      <c r="B55" s="32" t="s">
        <v>232</v>
      </c>
      <c r="C55" s="9">
        <f aca="true" t="shared" si="13" ref="C55:L55">+C23/100*C52</f>
        <v>16592.122675862072</v>
      </c>
      <c r="D55" s="9">
        <f t="shared" si="13"/>
        <v>870.1578813777777</v>
      </c>
      <c r="E55" s="9">
        <f t="shared" si="13"/>
        <v>591.1847189807528</v>
      </c>
      <c r="F55" s="9">
        <f t="shared" si="13"/>
        <v>189.933947923793</v>
      </c>
      <c r="G55" s="9">
        <f t="shared" si="13"/>
        <v>247.9680143252283</v>
      </c>
      <c r="H55" s="9">
        <f t="shared" si="13"/>
        <v>917.7642859328834</v>
      </c>
      <c r="I55" s="9">
        <f t="shared" si="13"/>
        <v>1615.7605533122264</v>
      </c>
      <c r="J55" s="9">
        <f t="shared" si="13"/>
        <v>0</v>
      </c>
      <c r="K55" s="9">
        <f t="shared" si="13"/>
        <v>0</v>
      </c>
      <c r="L55" s="9">
        <f t="shared" si="13"/>
        <v>0</v>
      </c>
    </row>
    <row r="56" spans="2:12" ht="15">
      <c r="B56" s="32" t="s">
        <v>185</v>
      </c>
      <c r="C56" s="9">
        <f>+C52-C55</f>
        <v>20279.261048275865</v>
      </c>
      <c r="D56" s="9">
        <f>+D52-D55</f>
        <v>1481.6201763999998</v>
      </c>
      <c r="E56" s="9">
        <f aca="true" t="shared" si="14" ref="E56:L56">+E52-E55</f>
        <v>1006.6118188050656</v>
      </c>
      <c r="F56" s="9">
        <f t="shared" si="14"/>
        <v>323.4010464648368</v>
      </c>
      <c r="G56" s="9">
        <f t="shared" si="14"/>
        <v>422.2158081753887</v>
      </c>
      <c r="H56" s="9">
        <f t="shared" si="14"/>
        <v>1562.6797301019365</v>
      </c>
      <c r="I56" s="9">
        <f t="shared" si="14"/>
        <v>2751.1598610451424</v>
      </c>
      <c r="J56" s="9">
        <f t="shared" si="14"/>
        <v>0</v>
      </c>
      <c r="K56" s="9">
        <f t="shared" si="14"/>
        <v>0</v>
      </c>
      <c r="L56" s="9">
        <f t="shared" si="14"/>
        <v>0</v>
      </c>
    </row>
    <row r="57" spans="2:12" ht="15">
      <c r="B57" s="32" t="s">
        <v>235</v>
      </c>
      <c r="C57" s="36">
        <f>+C52*(C24/100)</f>
        <v>2949.710697931035</v>
      </c>
      <c r="D57" s="36">
        <f aca="true" t="shared" si="15" ref="D57:L57">+D52*(D24/100)</f>
        <v>188.14224462222222</v>
      </c>
      <c r="E57" s="36">
        <f t="shared" si="15"/>
        <v>127.82372302286548</v>
      </c>
      <c r="F57" s="36">
        <f t="shared" si="15"/>
        <v>41.066799551090384</v>
      </c>
      <c r="G57" s="36">
        <f t="shared" si="15"/>
        <v>53.614705800049364</v>
      </c>
      <c r="H57" s="36">
        <f t="shared" si="15"/>
        <v>198.4355212827856</v>
      </c>
      <c r="I57" s="36">
        <f t="shared" si="15"/>
        <v>349.3536331485895</v>
      </c>
      <c r="J57" s="36">
        <f t="shared" si="15"/>
        <v>0</v>
      </c>
      <c r="K57" s="36">
        <f t="shared" si="15"/>
        <v>0</v>
      </c>
      <c r="L57" s="36">
        <f t="shared" si="15"/>
        <v>0</v>
      </c>
    </row>
    <row r="58" spans="2:12" ht="15">
      <c r="B58" s="32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4" ht="15.75">
      <c r="B59" s="29" t="s">
        <v>182</v>
      </c>
      <c r="C59" s="35" t="s">
        <v>207</v>
      </c>
      <c r="D59" s="35" t="s">
        <v>187</v>
      </c>
    </row>
    <row r="60" spans="2:5" ht="15.75">
      <c r="B60" s="29" t="s">
        <v>172</v>
      </c>
      <c r="C60" s="9">
        <f>SUM(C42:L42)</f>
        <v>41424.59518400001</v>
      </c>
      <c r="D60" s="12">
        <f>C60/(C60+C61)</f>
        <v>0.6315033348292488</v>
      </c>
      <c r="E60" s="28" t="s">
        <v>188</v>
      </c>
    </row>
    <row r="61" spans="2:5" ht="15.75">
      <c r="B61" s="29" t="s">
        <v>173</v>
      </c>
      <c r="C61" s="9">
        <f>SUM(C43:L43)</f>
        <v>24172.200429440007</v>
      </c>
      <c r="D61" s="12">
        <f>1-D60</f>
        <v>0.3684966651707512</v>
      </c>
      <c r="E61" s="28" t="s">
        <v>189</v>
      </c>
    </row>
    <row r="62" spans="2:5" ht="15.75">
      <c r="B62" s="29" t="s">
        <v>150</v>
      </c>
      <c r="C62" s="9">
        <f>SUM(C45:L45)</f>
        <v>15103.448275862069</v>
      </c>
      <c r="D62" s="12">
        <f>C62/$C$65</f>
        <v>0.9160465064213692</v>
      </c>
      <c r="E62" s="28" t="s">
        <v>190</v>
      </c>
    </row>
    <row r="63" spans="2:5" ht="15.75">
      <c r="B63" s="29" t="s">
        <v>151</v>
      </c>
      <c r="C63" s="9">
        <f>SUM(C46:L46)</f>
        <v>224.94057777777778</v>
      </c>
      <c r="D63" s="12">
        <f>C63/$C$65</f>
        <v>0.013642979183439248</v>
      </c>
      <c r="E63" s="28" t="s">
        <v>190</v>
      </c>
    </row>
    <row r="64" spans="2:5" ht="15.75">
      <c r="B64" s="29" t="s">
        <v>152</v>
      </c>
      <c r="C64" s="9">
        <f>SUM(C47:L47)</f>
        <v>1159.2546993771896</v>
      </c>
      <c r="D64" s="12">
        <f>C64/$C$65</f>
        <v>0.07031051439519143</v>
      </c>
      <c r="E64" s="28" t="s">
        <v>190</v>
      </c>
    </row>
    <row r="65" spans="2:5" ht="15.75">
      <c r="B65" s="29" t="s">
        <v>183</v>
      </c>
      <c r="C65" s="9">
        <f>SUM(C48:L48)</f>
        <v>16487.64355301704</v>
      </c>
      <c r="E65" s="28"/>
    </row>
    <row r="66" spans="2:5" ht="15.75">
      <c r="B66" s="29" t="s">
        <v>194</v>
      </c>
      <c r="D66" s="11">
        <f>C65/(C61+C60)</f>
        <v>0.25134830747188075</v>
      </c>
      <c r="E66" s="28"/>
    </row>
    <row r="67" spans="2:5" ht="15.75">
      <c r="B67" s="29" t="s">
        <v>193</v>
      </c>
      <c r="C67" s="10" t="s">
        <v>192</v>
      </c>
      <c r="D67" s="13">
        <v>0.35</v>
      </c>
      <c r="E67" s="28"/>
    </row>
    <row r="68" spans="2:5" ht="15.75">
      <c r="B68" s="29"/>
      <c r="E68" s="28"/>
    </row>
    <row r="69" spans="2:5" ht="15.75">
      <c r="B69" s="29" t="s">
        <v>186</v>
      </c>
      <c r="C69" s="9">
        <f>SUM(C52:L52)</f>
        <v>48851.841566982956</v>
      </c>
      <c r="D69" s="12">
        <f>C69/(C61+C60)</f>
        <v>0.7447290848605688</v>
      </c>
      <c r="E69" s="28" t="s">
        <v>191</v>
      </c>
    </row>
    <row r="70" spans="2:3" ht="15.75">
      <c r="B70" s="29" t="s">
        <v>244</v>
      </c>
      <c r="C70" s="9">
        <f>SUM(C55:L55)</f>
        <v>21024.892077714736</v>
      </c>
    </row>
    <row r="71" spans="2:3" ht="15.75">
      <c r="B71" s="29" t="s">
        <v>245</v>
      </c>
      <c r="C71" s="9">
        <f>SUM(C56:L56)</f>
        <v>27826.949489268234</v>
      </c>
    </row>
    <row r="72" spans="1:4" ht="15">
      <c r="A72" s="44" t="s">
        <v>241</v>
      </c>
      <c r="B72" s="44"/>
      <c r="C72" s="28"/>
      <c r="D72" s="28"/>
    </row>
    <row r="73" spans="1:4" ht="15">
      <c r="A73" s="28" t="s">
        <v>242</v>
      </c>
      <c r="B73" s="28"/>
      <c r="C73" s="28"/>
      <c r="D73" s="28"/>
    </row>
    <row r="75" spans="2:3" ht="15.75">
      <c r="B75" s="29" t="s">
        <v>246</v>
      </c>
      <c r="C75" s="36">
        <f>SUM(C57:L57)</f>
        <v>3908.1473253586373</v>
      </c>
    </row>
    <row r="76" spans="2:4" ht="15.75">
      <c r="B76" s="29" t="s">
        <v>247</v>
      </c>
      <c r="C76" s="45">
        <f>+C75/C8</f>
        <v>10.707252946188047</v>
      </c>
      <c r="D76" s="37"/>
    </row>
    <row r="77" spans="2:6" ht="16.5" customHeight="1" thickBot="1">
      <c r="B77" s="38" t="s">
        <v>249</v>
      </c>
      <c r="C77"/>
      <c r="D77"/>
      <c r="E77"/>
      <c r="F77"/>
    </row>
    <row r="78" spans="2:6" ht="16.5" thickBot="1">
      <c r="B78" s="39"/>
      <c r="C78" s="54" t="s">
        <v>238</v>
      </c>
      <c r="D78" s="55"/>
      <c r="E78" s="55"/>
      <c r="F78" s="56"/>
    </row>
    <row r="79" spans="2:6" ht="16.5" customHeight="1" thickBot="1">
      <c r="B79" s="40" t="s">
        <v>239</v>
      </c>
      <c r="C79" s="41">
        <v>68</v>
      </c>
      <c r="D79" s="41" t="s">
        <v>240</v>
      </c>
      <c r="E79" s="41">
        <v>50</v>
      </c>
      <c r="F79" s="41">
        <v>40</v>
      </c>
    </row>
    <row r="80" spans="2:6" ht="16.5" thickBot="1">
      <c r="B80" s="42">
        <v>6</v>
      </c>
      <c r="C80" s="41">
        <v>10</v>
      </c>
      <c r="D80" s="41">
        <v>4</v>
      </c>
      <c r="E80" s="41">
        <v>1</v>
      </c>
      <c r="F80" s="41">
        <v>0</v>
      </c>
    </row>
    <row r="81" spans="2:6" ht="16.5" thickBot="1">
      <c r="B81" s="42">
        <v>12</v>
      </c>
      <c r="C81" s="41">
        <v>19</v>
      </c>
      <c r="D81" s="41">
        <v>8</v>
      </c>
      <c r="E81" s="41">
        <v>2</v>
      </c>
      <c r="F81" s="41">
        <v>1</v>
      </c>
    </row>
    <row r="82" spans="2:6" ht="16.5" thickBot="1">
      <c r="B82" s="42">
        <v>24</v>
      </c>
      <c r="C82" s="41">
        <v>35</v>
      </c>
      <c r="D82" s="41">
        <v>16</v>
      </c>
      <c r="E82" s="41">
        <v>5</v>
      </c>
      <c r="F82" s="41">
        <v>2</v>
      </c>
    </row>
    <row r="83" spans="2:6" ht="16.5" thickBot="1">
      <c r="B83" s="42">
        <v>48</v>
      </c>
      <c r="C83" s="41">
        <v>38</v>
      </c>
      <c r="D83" s="41">
        <v>20</v>
      </c>
      <c r="E83" s="41">
        <v>10</v>
      </c>
      <c r="F83" s="41">
        <v>5</v>
      </c>
    </row>
    <row r="84" spans="2:6" ht="16.5" thickBot="1">
      <c r="B84" s="42">
        <v>72</v>
      </c>
      <c r="C84" s="41">
        <v>39</v>
      </c>
      <c r="D84" s="41">
        <v>22</v>
      </c>
      <c r="E84" s="41">
        <v>14</v>
      </c>
      <c r="F84" s="41">
        <v>6</v>
      </c>
    </row>
    <row r="85" ht="15">
      <c r="B85" s="43" t="s">
        <v>243</v>
      </c>
    </row>
    <row r="86" spans="2:6" ht="15">
      <c r="B86"/>
      <c r="C86"/>
      <c r="D86"/>
      <c r="E86"/>
      <c r="F86"/>
    </row>
    <row r="87" spans="2:6" ht="15">
      <c r="B87"/>
      <c r="C87"/>
      <c r="D87"/>
      <c r="E87"/>
      <c r="F87"/>
    </row>
    <row r="88" spans="3:6" ht="15">
      <c r="C88"/>
      <c r="D88"/>
      <c r="E88"/>
      <c r="F88"/>
    </row>
    <row r="89" spans="2:6" ht="15">
      <c r="B89"/>
      <c r="C89"/>
      <c r="D89"/>
      <c r="E89"/>
      <c r="F89"/>
    </row>
    <row r="90" spans="2:6" ht="15">
      <c r="B90"/>
      <c r="C90"/>
      <c r="D90"/>
      <c r="E90"/>
      <c r="F90"/>
    </row>
    <row r="91" spans="2:6" ht="15">
      <c r="B91"/>
      <c r="C91"/>
      <c r="D91"/>
      <c r="E91"/>
      <c r="F91"/>
    </row>
    <row r="102" ht="15">
      <c r="A102" s="1" t="s">
        <v>23</v>
      </c>
    </row>
    <row r="104" ht="15">
      <c r="B104" s="1" t="s">
        <v>24</v>
      </c>
    </row>
    <row r="105" spans="3:12" ht="15">
      <c r="C105" s="1" t="s">
        <v>31</v>
      </c>
      <c r="D105" s="1" t="s">
        <v>31</v>
      </c>
      <c r="E105" s="1" t="s">
        <v>31</v>
      </c>
      <c r="F105" s="1" t="s">
        <v>31</v>
      </c>
      <c r="G105" s="1" t="s">
        <v>31</v>
      </c>
      <c r="H105" s="1" t="s">
        <v>31</v>
      </c>
      <c r="I105" s="1" t="s">
        <v>31</v>
      </c>
      <c r="J105" s="1" t="s">
        <v>31</v>
      </c>
      <c r="K105" s="1" t="s">
        <v>31</v>
      </c>
      <c r="L105" s="1" t="s">
        <v>31</v>
      </c>
    </row>
    <row r="106" ht="15">
      <c r="B106" s="1" t="s">
        <v>25</v>
      </c>
    </row>
    <row r="107" spans="2:12" ht="15">
      <c r="B107" s="1" t="s">
        <v>26</v>
      </c>
      <c r="C107" s="13">
        <v>0.55</v>
      </c>
      <c r="D107" s="13">
        <v>0.55</v>
      </c>
      <c r="E107" s="13">
        <v>0.55</v>
      </c>
      <c r="F107" s="13">
        <v>0.55</v>
      </c>
      <c r="G107" s="13">
        <v>0.55</v>
      </c>
      <c r="H107" s="13">
        <v>0.55</v>
      </c>
      <c r="I107" s="13">
        <v>0.55</v>
      </c>
      <c r="J107" s="13">
        <v>0.55</v>
      </c>
      <c r="K107" s="13">
        <v>0.55</v>
      </c>
      <c r="L107" s="13">
        <v>0.55</v>
      </c>
    </row>
    <row r="108" spans="2:12" ht="15">
      <c r="B108" s="1" t="s">
        <v>27</v>
      </c>
      <c r="C108" s="13">
        <v>0.85</v>
      </c>
      <c r="D108" s="13">
        <v>0.85</v>
      </c>
      <c r="E108" s="13">
        <v>0.85</v>
      </c>
      <c r="F108" s="13">
        <v>0.85</v>
      </c>
      <c r="G108" s="13">
        <v>0.85</v>
      </c>
      <c r="H108" s="13">
        <v>0.85</v>
      </c>
      <c r="I108" s="13">
        <v>0.85</v>
      </c>
      <c r="J108" s="13">
        <v>0.85</v>
      </c>
      <c r="K108" s="13">
        <v>0.85</v>
      </c>
      <c r="L108" s="13">
        <v>0.85</v>
      </c>
    </row>
    <row r="109" spans="2:12" ht="15">
      <c r="B109" s="1" t="s">
        <v>29</v>
      </c>
      <c r="C109" s="13">
        <v>0.92</v>
      </c>
      <c r="D109" s="13">
        <v>0.92</v>
      </c>
      <c r="E109" s="13">
        <v>0.92</v>
      </c>
      <c r="F109" s="13">
        <v>0.92</v>
      </c>
      <c r="G109" s="13">
        <v>0.92</v>
      </c>
      <c r="H109" s="13">
        <v>0.92</v>
      </c>
      <c r="I109" s="13">
        <v>0.92</v>
      </c>
      <c r="J109" s="13">
        <v>0.92</v>
      </c>
      <c r="K109" s="13">
        <v>0.92</v>
      </c>
      <c r="L109" s="13">
        <v>0.92</v>
      </c>
    </row>
    <row r="110" spans="2:12" ht="15">
      <c r="B110" s="1" t="s">
        <v>30</v>
      </c>
      <c r="C110" s="13">
        <v>0.96</v>
      </c>
      <c r="D110" s="13">
        <v>0.96</v>
      </c>
      <c r="E110" s="13">
        <v>0.96</v>
      </c>
      <c r="F110" s="13">
        <v>0.96</v>
      </c>
      <c r="G110" s="13">
        <v>0.96</v>
      </c>
      <c r="H110" s="13">
        <v>0.96</v>
      </c>
      <c r="I110" s="13">
        <v>0.96</v>
      </c>
      <c r="J110" s="13">
        <v>0.96</v>
      </c>
      <c r="K110" s="13">
        <v>0.96</v>
      </c>
      <c r="L110" s="13">
        <v>0.96</v>
      </c>
    </row>
    <row r="111" spans="2:12" ht="15">
      <c r="B111" s="1" t="s">
        <v>32</v>
      </c>
      <c r="C111" s="13">
        <v>1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</row>
    <row r="112" spans="3:12" ht="15">
      <c r="C112" s="1" t="s">
        <v>33</v>
      </c>
      <c r="D112" s="1" t="s">
        <v>33</v>
      </c>
      <c r="E112" s="1" t="s">
        <v>33</v>
      </c>
      <c r="F112" s="1" t="s">
        <v>33</v>
      </c>
      <c r="G112" s="1" t="s">
        <v>33</v>
      </c>
      <c r="H112" s="1" t="s">
        <v>33</v>
      </c>
      <c r="I112" s="1" t="s">
        <v>33</v>
      </c>
      <c r="J112" s="1" t="s">
        <v>33</v>
      </c>
      <c r="K112" s="1" t="s">
        <v>33</v>
      </c>
      <c r="L112" s="1" t="s">
        <v>33</v>
      </c>
    </row>
    <row r="114" spans="2:12" ht="15">
      <c r="B114" s="1" t="s">
        <v>25</v>
      </c>
      <c r="C114" s="1">
        <f>C107*$C$4</f>
        <v>825.0000000000001</v>
      </c>
      <c r="D114" s="1">
        <f aca="true" t="shared" si="16" ref="D114:L114">D107*$C$4</f>
        <v>825.0000000000001</v>
      </c>
      <c r="E114" s="1">
        <f t="shared" si="16"/>
        <v>825.0000000000001</v>
      </c>
      <c r="F114" s="1">
        <f t="shared" si="16"/>
        <v>825.0000000000001</v>
      </c>
      <c r="G114" s="1">
        <f t="shared" si="16"/>
        <v>825.0000000000001</v>
      </c>
      <c r="H114" s="1">
        <f t="shared" si="16"/>
        <v>825.0000000000001</v>
      </c>
      <c r="I114" s="1">
        <f t="shared" si="16"/>
        <v>825.0000000000001</v>
      </c>
      <c r="J114" s="1">
        <f t="shared" si="16"/>
        <v>825.0000000000001</v>
      </c>
      <c r="K114" s="1">
        <f t="shared" si="16"/>
        <v>825.0000000000001</v>
      </c>
      <c r="L114" s="1">
        <f t="shared" si="16"/>
        <v>825.0000000000001</v>
      </c>
    </row>
    <row r="115" spans="2:12" ht="15">
      <c r="B115" s="1" t="s">
        <v>26</v>
      </c>
      <c r="C115" s="1">
        <f aca="true" t="shared" si="17" ref="C115:L118">C108*$C$4</f>
        <v>1275</v>
      </c>
      <c r="D115" s="1">
        <f t="shared" si="17"/>
        <v>1275</v>
      </c>
      <c r="E115" s="1">
        <f t="shared" si="17"/>
        <v>1275</v>
      </c>
      <c r="F115" s="1">
        <f t="shared" si="17"/>
        <v>1275</v>
      </c>
      <c r="G115" s="1">
        <f t="shared" si="17"/>
        <v>1275</v>
      </c>
      <c r="H115" s="1">
        <f t="shared" si="17"/>
        <v>1275</v>
      </c>
      <c r="I115" s="1">
        <f t="shared" si="17"/>
        <v>1275</v>
      </c>
      <c r="J115" s="1">
        <f t="shared" si="17"/>
        <v>1275</v>
      </c>
      <c r="K115" s="1">
        <f t="shared" si="17"/>
        <v>1275</v>
      </c>
      <c r="L115" s="1">
        <f t="shared" si="17"/>
        <v>1275</v>
      </c>
    </row>
    <row r="116" spans="2:12" ht="15">
      <c r="B116" s="1" t="s">
        <v>27</v>
      </c>
      <c r="C116" s="1">
        <f t="shared" si="17"/>
        <v>1380</v>
      </c>
      <c r="D116" s="1">
        <f t="shared" si="17"/>
        <v>1380</v>
      </c>
      <c r="E116" s="1">
        <f t="shared" si="17"/>
        <v>1380</v>
      </c>
      <c r="F116" s="1">
        <f t="shared" si="17"/>
        <v>1380</v>
      </c>
      <c r="G116" s="1">
        <f t="shared" si="17"/>
        <v>1380</v>
      </c>
      <c r="H116" s="1">
        <f t="shared" si="17"/>
        <v>1380</v>
      </c>
      <c r="I116" s="1">
        <f t="shared" si="17"/>
        <v>1380</v>
      </c>
      <c r="J116" s="1">
        <f t="shared" si="17"/>
        <v>1380</v>
      </c>
      <c r="K116" s="1">
        <f t="shared" si="17"/>
        <v>1380</v>
      </c>
      <c r="L116" s="1">
        <f t="shared" si="17"/>
        <v>1380</v>
      </c>
    </row>
    <row r="117" spans="2:12" ht="15">
      <c r="B117" s="1" t="s">
        <v>29</v>
      </c>
      <c r="C117" s="1">
        <f t="shared" si="17"/>
        <v>1440</v>
      </c>
      <c r="D117" s="1">
        <f t="shared" si="17"/>
        <v>1440</v>
      </c>
      <c r="E117" s="1">
        <f t="shared" si="17"/>
        <v>1440</v>
      </c>
      <c r="F117" s="1">
        <f t="shared" si="17"/>
        <v>1440</v>
      </c>
      <c r="G117" s="1">
        <f t="shared" si="17"/>
        <v>1440</v>
      </c>
      <c r="H117" s="1">
        <f t="shared" si="17"/>
        <v>1440</v>
      </c>
      <c r="I117" s="1">
        <f t="shared" si="17"/>
        <v>1440</v>
      </c>
      <c r="J117" s="1">
        <f t="shared" si="17"/>
        <v>1440</v>
      </c>
      <c r="K117" s="1">
        <f t="shared" si="17"/>
        <v>1440</v>
      </c>
      <c r="L117" s="1">
        <f t="shared" si="17"/>
        <v>1440</v>
      </c>
    </row>
    <row r="118" spans="2:12" ht="15">
      <c r="B118" s="1" t="s">
        <v>30</v>
      </c>
      <c r="C118" s="1">
        <f t="shared" si="17"/>
        <v>1500</v>
      </c>
      <c r="D118" s="1">
        <f t="shared" si="17"/>
        <v>1500</v>
      </c>
      <c r="E118" s="1">
        <f t="shared" si="17"/>
        <v>1500</v>
      </c>
      <c r="F118" s="1">
        <f t="shared" si="17"/>
        <v>1500</v>
      </c>
      <c r="G118" s="1">
        <f t="shared" si="17"/>
        <v>1500</v>
      </c>
      <c r="H118" s="1">
        <f t="shared" si="17"/>
        <v>1500</v>
      </c>
      <c r="I118" s="1">
        <f t="shared" si="17"/>
        <v>1500</v>
      </c>
      <c r="J118" s="1">
        <f t="shared" si="17"/>
        <v>1500</v>
      </c>
      <c r="K118" s="1">
        <f t="shared" si="17"/>
        <v>1500</v>
      </c>
      <c r="L118" s="1">
        <f t="shared" si="17"/>
        <v>1500</v>
      </c>
    </row>
    <row r="119" spans="2:12" ht="15">
      <c r="B119" s="1" t="s">
        <v>32</v>
      </c>
      <c r="C119" s="1" t="s">
        <v>34</v>
      </c>
      <c r="D119" s="1" t="s">
        <v>34</v>
      </c>
      <c r="E119" s="1" t="s">
        <v>34</v>
      </c>
      <c r="F119" s="1" t="s">
        <v>34</v>
      </c>
      <c r="G119" s="1" t="s">
        <v>34</v>
      </c>
      <c r="H119" s="1" t="s">
        <v>34</v>
      </c>
      <c r="I119" s="1" t="s">
        <v>34</v>
      </c>
      <c r="J119" s="1" t="s">
        <v>34</v>
      </c>
      <c r="K119" s="1" t="s">
        <v>34</v>
      </c>
      <c r="L119" s="1" t="s">
        <v>34</v>
      </c>
    </row>
    <row r="121" spans="2:12" ht="15">
      <c r="B121" s="1" t="s">
        <v>25</v>
      </c>
      <c r="C121" s="7">
        <f>C122-9</f>
        <v>15</v>
      </c>
      <c r="D121" s="7">
        <f aca="true" t="shared" si="18" ref="D121:L121">D122-9</f>
        <v>15</v>
      </c>
      <c r="E121" s="7">
        <f t="shared" si="18"/>
        <v>15</v>
      </c>
      <c r="F121" s="7">
        <f t="shared" si="18"/>
        <v>15</v>
      </c>
      <c r="G121" s="7">
        <f t="shared" si="18"/>
        <v>15</v>
      </c>
      <c r="H121" s="7">
        <f t="shared" si="18"/>
        <v>15</v>
      </c>
      <c r="I121" s="7">
        <f t="shared" si="18"/>
        <v>15</v>
      </c>
      <c r="J121" s="7">
        <f t="shared" si="18"/>
        <v>15</v>
      </c>
      <c r="K121" s="7">
        <f t="shared" si="18"/>
        <v>15</v>
      </c>
      <c r="L121" s="7">
        <f t="shared" si="18"/>
        <v>15</v>
      </c>
    </row>
    <row r="122" spans="2:12" ht="15">
      <c r="B122" s="1" t="s">
        <v>26</v>
      </c>
      <c r="C122" s="7">
        <f>$C5</f>
        <v>24</v>
      </c>
      <c r="D122" s="7">
        <f aca="true" t="shared" si="19" ref="D122:L122">$C5</f>
        <v>24</v>
      </c>
      <c r="E122" s="7">
        <f t="shared" si="19"/>
        <v>24</v>
      </c>
      <c r="F122" s="7">
        <f t="shared" si="19"/>
        <v>24</v>
      </c>
      <c r="G122" s="7">
        <f t="shared" si="19"/>
        <v>24</v>
      </c>
      <c r="H122" s="7">
        <f t="shared" si="19"/>
        <v>24</v>
      </c>
      <c r="I122" s="7">
        <f t="shared" si="19"/>
        <v>24</v>
      </c>
      <c r="J122" s="7">
        <f t="shared" si="19"/>
        <v>24</v>
      </c>
      <c r="K122" s="7">
        <f t="shared" si="19"/>
        <v>24</v>
      </c>
      <c r="L122" s="7">
        <f t="shared" si="19"/>
        <v>24</v>
      </c>
    </row>
    <row r="123" spans="2:12" ht="15">
      <c r="B123" s="1" t="s">
        <v>27</v>
      </c>
      <c r="C123" s="7">
        <f>C122+$C$6</f>
        <v>37</v>
      </c>
      <c r="D123" s="7">
        <f aca="true" t="shared" si="20" ref="D123:L125">D122+$C$6</f>
        <v>37</v>
      </c>
      <c r="E123" s="7">
        <f t="shared" si="20"/>
        <v>37</v>
      </c>
      <c r="F123" s="7">
        <f t="shared" si="20"/>
        <v>37</v>
      </c>
      <c r="G123" s="7">
        <f t="shared" si="20"/>
        <v>37</v>
      </c>
      <c r="H123" s="7">
        <f t="shared" si="20"/>
        <v>37</v>
      </c>
      <c r="I123" s="7">
        <f t="shared" si="20"/>
        <v>37</v>
      </c>
      <c r="J123" s="7">
        <f t="shared" si="20"/>
        <v>37</v>
      </c>
      <c r="K123" s="7">
        <f t="shared" si="20"/>
        <v>37</v>
      </c>
      <c r="L123" s="7">
        <f t="shared" si="20"/>
        <v>37</v>
      </c>
    </row>
    <row r="124" spans="2:12" ht="15">
      <c r="B124" s="1" t="s">
        <v>29</v>
      </c>
      <c r="C124" s="7">
        <f>C123+$C$6</f>
        <v>50</v>
      </c>
      <c r="D124" s="7">
        <f t="shared" si="20"/>
        <v>50</v>
      </c>
      <c r="E124" s="7">
        <f t="shared" si="20"/>
        <v>50</v>
      </c>
      <c r="F124" s="7">
        <f t="shared" si="20"/>
        <v>50</v>
      </c>
      <c r="G124" s="7">
        <f t="shared" si="20"/>
        <v>50</v>
      </c>
      <c r="H124" s="7">
        <f t="shared" si="20"/>
        <v>50</v>
      </c>
      <c r="I124" s="7">
        <f t="shared" si="20"/>
        <v>50</v>
      </c>
      <c r="J124" s="7">
        <f t="shared" si="20"/>
        <v>50</v>
      </c>
      <c r="K124" s="7">
        <f t="shared" si="20"/>
        <v>50</v>
      </c>
      <c r="L124" s="7">
        <f t="shared" si="20"/>
        <v>50</v>
      </c>
    </row>
    <row r="125" spans="2:12" ht="15">
      <c r="B125" s="1" t="s">
        <v>30</v>
      </c>
      <c r="C125" s="7">
        <f>C124+$C$6</f>
        <v>63</v>
      </c>
      <c r="D125" s="7">
        <f t="shared" si="20"/>
        <v>63</v>
      </c>
      <c r="E125" s="7">
        <f t="shared" si="20"/>
        <v>63</v>
      </c>
      <c r="F125" s="7">
        <f t="shared" si="20"/>
        <v>63</v>
      </c>
      <c r="G125" s="7">
        <f t="shared" si="20"/>
        <v>63</v>
      </c>
      <c r="H125" s="7">
        <f t="shared" si="20"/>
        <v>63</v>
      </c>
      <c r="I125" s="7">
        <f t="shared" si="20"/>
        <v>63</v>
      </c>
      <c r="J125" s="7">
        <f t="shared" si="20"/>
        <v>63</v>
      </c>
      <c r="K125" s="7">
        <f t="shared" si="20"/>
        <v>63</v>
      </c>
      <c r="L125" s="7">
        <f t="shared" si="20"/>
        <v>63</v>
      </c>
    </row>
    <row r="126" ht="15">
      <c r="B126" s="1" t="s">
        <v>32</v>
      </c>
    </row>
    <row r="127" ht="15">
      <c r="B127" s="1" t="s">
        <v>35</v>
      </c>
    </row>
    <row r="128" spans="2:13" ht="15">
      <c r="B128" s="1" t="s">
        <v>36</v>
      </c>
      <c r="C128" s="1">
        <f>C15</f>
        <v>1500</v>
      </c>
      <c r="D128" s="1">
        <f aca="true" t="shared" si="21" ref="D128:L128">D15</f>
        <v>1500</v>
      </c>
      <c r="E128" s="1">
        <f t="shared" si="21"/>
        <v>1400</v>
      </c>
      <c r="F128" s="1">
        <f t="shared" si="21"/>
        <v>450</v>
      </c>
      <c r="G128" s="1">
        <f t="shared" si="21"/>
        <v>700</v>
      </c>
      <c r="H128" s="1">
        <f t="shared" si="21"/>
        <v>900</v>
      </c>
      <c r="I128" s="1">
        <f t="shared" si="21"/>
        <v>1050</v>
      </c>
      <c r="J128" s="1">
        <f t="shared" si="21"/>
        <v>800</v>
      </c>
      <c r="K128" s="1">
        <f t="shared" si="21"/>
        <v>1000</v>
      </c>
      <c r="L128" s="1">
        <f t="shared" si="21"/>
        <v>1250</v>
      </c>
      <c r="M128" s="1" t="s">
        <v>19</v>
      </c>
    </row>
    <row r="129" spans="2:13" ht="15">
      <c r="B129" s="1" t="s">
        <v>1</v>
      </c>
      <c r="C129" s="1">
        <f>C14</f>
        <v>47</v>
      </c>
      <c r="D129" s="1">
        <f aca="true" t="shared" si="22" ref="D129:L129">D14</f>
        <v>47</v>
      </c>
      <c r="E129" s="1">
        <f t="shared" si="22"/>
        <v>45</v>
      </c>
      <c r="F129" s="1">
        <f t="shared" si="22"/>
        <v>8</v>
      </c>
      <c r="G129" s="1">
        <f t="shared" si="22"/>
        <v>10</v>
      </c>
      <c r="H129" s="1">
        <f t="shared" si="22"/>
        <v>14</v>
      </c>
      <c r="I129" s="1">
        <f t="shared" si="22"/>
        <v>18</v>
      </c>
      <c r="J129" s="1">
        <f t="shared" si="22"/>
        <v>1</v>
      </c>
      <c r="K129" s="1">
        <f t="shared" si="22"/>
        <v>1</v>
      </c>
      <c r="L129" s="1">
        <f t="shared" si="22"/>
        <v>1</v>
      </c>
      <c r="M129" s="1" t="s">
        <v>39</v>
      </c>
    </row>
    <row r="130" spans="2:12" ht="15">
      <c r="B130" s="1" t="s">
        <v>37</v>
      </c>
      <c r="C130" s="7">
        <f aca="true" t="shared" si="23" ref="C130:L130">ROUNDDOWN((C129-C122)/$C6+IF(C14&gt;$C5,1,0),0)</f>
        <v>2</v>
      </c>
      <c r="D130" s="7">
        <f t="shared" si="23"/>
        <v>2</v>
      </c>
      <c r="E130" s="7">
        <f t="shared" si="23"/>
        <v>2</v>
      </c>
      <c r="F130" s="7">
        <f t="shared" si="23"/>
        <v>-1</v>
      </c>
      <c r="G130" s="7">
        <f t="shared" si="23"/>
        <v>-1</v>
      </c>
      <c r="H130" s="7">
        <f t="shared" si="23"/>
        <v>0</v>
      </c>
      <c r="I130" s="7">
        <f t="shared" si="23"/>
        <v>0</v>
      </c>
      <c r="J130" s="7">
        <f t="shared" si="23"/>
        <v>-1</v>
      </c>
      <c r="K130" s="7">
        <f t="shared" si="23"/>
        <v>-1</v>
      </c>
      <c r="L130" s="7">
        <f t="shared" si="23"/>
        <v>-1</v>
      </c>
    </row>
    <row r="132" ht="15">
      <c r="B132" s="1" t="s">
        <v>38</v>
      </c>
    </row>
    <row r="133" spans="2:13" ht="15">
      <c r="B133" s="1" t="s">
        <v>1</v>
      </c>
      <c r="C133" s="14">
        <f>IF(C129&lt;C121,C121,IF(C129&lt;C122,C122,IF(C129&lt;C123,C123,IF(C129&lt;C124,C124,C125))))</f>
        <v>50</v>
      </c>
      <c r="D133" s="14">
        <f aca="true" t="shared" si="24" ref="D133:L133">IF(D129&lt;D121,D121,IF(D129&lt;D122,D122,IF(D129&lt;D123,D123,IF(D129&lt;D124,D124,D125))))</f>
        <v>50</v>
      </c>
      <c r="E133" s="14">
        <f t="shared" si="24"/>
        <v>50</v>
      </c>
      <c r="F133" s="14">
        <f t="shared" si="24"/>
        <v>15</v>
      </c>
      <c r="G133" s="14">
        <f t="shared" si="24"/>
        <v>15</v>
      </c>
      <c r="H133" s="14">
        <f t="shared" si="24"/>
        <v>15</v>
      </c>
      <c r="I133" s="14">
        <f t="shared" si="24"/>
        <v>24</v>
      </c>
      <c r="J133" s="14">
        <f t="shared" si="24"/>
        <v>15</v>
      </c>
      <c r="K133" s="14">
        <f t="shared" si="24"/>
        <v>15</v>
      </c>
      <c r="L133" s="14">
        <f t="shared" si="24"/>
        <v>15</v>
      </c>
      <c r="M133" s="1" t="s">
        <v>39</v>
      </c>
    </row>
    <row r="134" spans="2:13" ht="15">
      <c r="B134" s="1" t="s">
        <v>36</v>
      </c>
      <c r="C134" s="14">
        <f>IF(C129&lt;C121,C114,IF(C129&lt;C122,C115,IF(C129&lt;C123,C116,IF(C129&lt;C124,C117,C118))))</f>
        <v>1440</v>
      </c>
      <c r="D134" s="14">
        <f aca="true" t="shared" si="25" ref="D134:L134">IF(D129&lt;D121,D114,IF(D129&lt;D122,D115,IF(D129&lt;D123,D116,IF(D129&lt;D124,D117,D118))))</f>
        <v>1440</v>
      </c>
      <c r="E134" s="14">
        <f t="shared" si="25"/>
        <v>1440</v>
      </c>
      <c r="F134" s="14">
        <f t="shared" si="25"/>
        <v>825.0000000000001</v>
      </c>
      <c r="G134" s="14">
        <f t="shared" si="25"/>
        <v>825.0000000000001</v>
      </c>
      <c r="H134" s="14">
        <f t="shared" si="25"/>
        <v>825.0000000000001</v>
      </c>
      <c r="I134" s="14">
        <f t="shared" si="25"/>
        <v>1275</v>
      </c>
      <c r="J134" s="14">
        <f t="shared" si="25"/>
        <v>825.0000000000001</v>
      </c>
      <c r="K134" s="14">
        <f t="shared" si="25"/>
        <v>825.0000000000001</v>
      </c>
      <c r="L134" s="14">
        <f t="shared" si="25"/>
        <v>825.0000000000001</v>
      </c>
      <c r="M134" s="1" t="s">
        <v>19</v>
      </c>
    </row>
    <row r="136" spans="2:12" ht="15">
      <c r="B136" s="1" t="s">
        <v>40</v>
      </c>
      <c r="C136" s="9">
        <f aca="true" t="shared" si="26" ref="C136:L136">IF(C129&gt;C133,(C129-(C16/30.4)+C6)-C129,(C133-C129))*30.4</f>
        <v>91.19999999999999</v>
      </c>
      <c r="D136" s="9">
        <f t="shared" si="26"/>
        <v>91.19999999999999</v>
      </c>
      <c r="E136" s="9">
        <f t="shared" si="26"/>
        <v>152</v>
      </c>
      <c r="F136" s="9">
        <f t="shared" si="26"/>
        <v>212.79999999999998</v>
      </c>
      <c r="G136" s="9">
        <f t="shared" si="26"/>
        <v>152</v>
      </c>
      <c r="H136" s="9">
        <f t="shared" si="26"/>
        <v>30.4</v>
      </c>
      <c r="I136" s="9">
        <f t="shared" si="26"/>
        <v>182.39999999999998</v>
      </c>
      <c r="J136" s="9">
        <f t="shared" si="26"/>
        <v>425.59999999999997</v>
      </c>
      <c r="K136" s="9">
        <f t="shared" si="26"/>
        <v>425.59999999999997</v>
      </c>
      <c r="L136" s="9">
        <f t="shared" si="26"/>
        <v>425.59999999999997</v>
      </c>
    </row>
    <row r="137" spans="2:13" ht="15">
      <c r="B137" s="1" t="s">
        <v>41</v>
      </c>
      <c r="C137" s="1">
        <f>C134-C128</f>
        <v>-60</v>
      </c>
      <c r="D137" s="1">
        <f aca="true" t="shared" si="27" ref="D137:L137">D134-D128</f>
        <v>-60</v>
      </c>
      <c r="E137" s="1">
        <f t="shared" si="27"/>
        <v>40</v>
      </c>
      <c r="F137" s="1">
        <f t="shared" si="27"/>
        <v>375.0000000000001</v>
      </c>
      <c r="G137" s="1">
        <f t="shared" si="27"/>
        <v>125.00000000000011</v>
      </c>
      <c r="H137" s="1">
        <f t="shared" si="27"/>
        <v>-74.99999999999989</v>
      </c>
      <c r="I137" s="1">
        <f t="shared" si="27"/>
        <v>225</v>
      </c>
      <c r="J137" s="1">
        <f t="shared" si="27"/>
        <v>25.000000000000114</v>
      </c>
      <c r="K137" s="1">
        <f t="shared" si="27"/>
        <v>-174.9999999999999</v>
      </c>
      <c r="L137" s="1">
        <f t="shared" si="27"/>
        <v>-424.9999999999999</v>
      </c>
      <c r="M137" s="1" t="s">
        <v>19</v>
      </c>
    </row>
    <row r="138" spans="2:13" ht="15">
      <c r="B138" s="1" t="s">
        <v>42</v>
      </c>
      <c r="C138" s="8">
        <f>IF(C137&lt;0,0,C137/C136)</f>
        <v>0</v>
      </c>
      <c r="D138" s="8">
        <f aca="true" t="shared" si="28" ref="D138:L138">IF(D137&lt;0,0,D137/D136)</f>
        <v>0</v>
      </c>
      <c r="E138" s="8">
        <f t="shared" si="28"/>
        <v>0.2631578947368421</v>
      </c>
      <c r="F138" s="8">
        <f t="shared" si="28"/>
        <v>1.7622180451127827</v>
      </c>
      <c r="G138" s="8">
        <f t="shared" si="28"/>
        <v>0.8223684210526323</v>
      </c>
      <c r="H138" s="8">
        <f t="shared" si="28"/>
        <v>0</v>
      </c>
      <c r="I138" s="8">
        <f t="shared" si="28"/>
        <v>1.2335526315789476</v>
      </c>
      <c r="J138" s="8">
        <f t="shared" si="28"/>
        <v>0.05874060150375967</v>
      </c>
      <c r="K138" s="8">
        <f t="shared" si="28"/>
        <v>0</v>
      </c>
      <c r="L138" s="8">
        <f t="shared" si="28"/>
        <v>0</v>
      </c>
      <c r="M138" s="1" t="s">
        <v>21</v>
      </c>
    </row>
    <row r="139" spans="3:12" ht="15"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3" ht="15">
      <c r="B140" s="1" t="s">
        <v>72</v>
      </c>
      <c r="C140" s="9">
        <f>0.96*C15</f>
        <v>1440</v>
      </c>
      <c r="D140" s="9">
        <f aca="true" t="shared" si="29" ref="D140:L140">0.96*D15</f>
        <v>1440</v>
      </c>
      <c r="E140" s="9">
        <f t="shared" si="29"/>
        <v>1344</v>
      </c>
      <c r="F140" s="9">
        <f t="shared" si="29"/>
        <v>432</v>
      </c>
      <c r="G140" s="9">
        <f t="shared" si="29"/>
        <v>672</v>
      </c>
      <c r="H140" s="9">
        <f t="shared" si="29"/>
        <v>864</v>
      </c>
      <c r="I140" s="9">
        <f t="shared" si="29"/>
        <v>1008</v>
      </c>
      <c r="J140" s="9">
        <f t="shared" si="29"/>
        <v>768</v>
      </c>
      <c r="K140" s="9">
        <f t="shared" si="29"/>
        <v>960</v>
      </c>
      <c r="L140" s="9">
        <f t="shared" si="29"/>
        <v>1200</v>
      </c>
      <c r="M140" s="1" t="s">
        <v>19</v>
      </c>
    </row>
    <row r="141" spans="2:13" ht="15">
      <c r="B141" s="1" t="s">
        <v>73</v>
      </c>
      <c r="C141" s="9">
        <f>C140-(C162/0.454)</f>
        <v>1440</v>
      </c>
      <c r="D141" s="9">
        <f aca="true" t="shared" si="30" ref="D141:L141">D140-(D162/0.454)</f>
        <v>1366.9027777777778</v>
      </c>
      <c r="E141" s="9">
        <f t="shared" si="30"/>
        <v>1200.7083333333333</v>
      </c>
      <c r="F141" s="9">
        <f t="shared" si="30"/>
        <v>432</v>
      </c>
      <c r="G141" s="9">
        <f t="shared" si="30"/>
        <v>672</v>
      </c>
      <c r="H141" s="9">
        <f t="shared" si="30"/>
        <v>864</v>
      </c>
      <c r="I141" s="9">
        <f t="shared" si="30"/>
        <v>1008</v>
      </c>
      <c r="J141" s="9">
        <f t="shared" si="30"/>
        <v>768</v>
      </c>
      <c r="K141" s="9">
        <f t="shared" si="30"/>
        <v>960</v>
      </c>
      <c r="L141" s="9">
        <f t="shared" si="30"/>
        <v>1160.5961111111112</v>
      </c>
      <c r="M141" s="1" t="s">
        <v>19</v>
      </c>
    </row>
    <row r="142" spans="2:13" ht="15">
      <c r="B142" s="1" t="s">
        <v>74</v>
      </c>
      <c r="C142" s="9">
        <v>478</v>
      </c>
      <c r="D142" s="9">
        <v>479</v>
      </c>
      <c r="E142" s="9">
        <v>480</v>
      </c>
      <c r="F142" s="9">
        <v>481</v>
      </c>
      <c r="G142" s="9">
        <v>482</v>
      </c>
      <c r="H142" s="9">
        <v>483</v>
      </c>
      <c r="I142" s="9">
        <v>484</v>
      </c>
      <c r="J142" s="9">
        <v>485</v>
      </c>
      <c r="K142" s="9">
        <v>486</v>
      </c>
      <c r="L142" s="9">
        <v>487</v>
      </c>
      <c r="M142" s="1" t="s">
        <v>55</v>
      </c>
    </row>
    <row r="143" spans="2:13" ht="15">
      <c r="B143" s="1" t="s">
        <v>71</v>
      </c>
      <c r="C143" s="9">
        <f>C140*((C142/0.454)/$C$4)</f>
        <v>1010.7488986784141</v>
      </c>
      <c r="D143" s="9">
        <f aca="true" t="shared" si="31" ref="D143:L143">D140*((D142/0.454)/$C$4)</f>
        <v>1012.863436123348</v>
      </c>
      <c r="E143" s="9">
        <f t="shared" si="31"/>
        <v>947.3127753303963</v>
      </c>
      <c r="F143" s="9">
        <f t="shared" si="31"/>
        <v>305.1277533039647</v>
      </c>
      <c r="G143" s="9">
        <f t="shared" si="31"/>
        <v>475.6299559471365</v>
      </c>
      <c r="H143" s="9">
        <f t="shared" si="31"/>
        <v>612.7929515418502</v>
      </c>
      <c r="I143" s="9">
        <f t="shared" si="31"/>
        <v>716.4052863436123</v>
      </c>
      <c r="J143" s="9">
        <f t="shared" si="31"/>
        <v>546.9603524229075</v>
      </c>
      <c r="K143" s="9">
        <f t="shared" si="31"/>
        <v>685.1101321585903</v>
      </c>
      <c r="L143" s="9">
        <f t="shared" si="31"/>
        <v>858.1497797356827</v>
      </c>
      <c r="M143" s="1" t="s">
        <v>19</v>
      </c>
    </row>
    <row r="144" spans="2:13" ht="15">
      <c r="B144" s="1" t="s">
        <v>75</v>
      </c>
      <c r="C144" s="9">
        <f>C143*0.891</f>
        <v>900.577268722467</v>
      </c>
      <c r="D144" s="9">
        <f aca="true" t="shared" si="32" ref="D144:L144">D143*0.891</f>
        <v>902.4613215859031</v>
      </c>
      <c r="E144" s="9">
        <f t="shared" si="32"/>
        <v>844.0556828193832</v>
      </c>
      <c r="F144" s="9">
        <f t="shared" si="32"/>
        <v>271.86882819383254</v>
      </c>
      <c r="G144" s="9">
        <f t="shared" si="32"/>
        <v>423.78629074889864</v>
      </c>
      <c r="H144" s="9">
        <f t="shared" si="32"/>
        <v>545.9985198237886</v>
      </c>
      <c r="I144" s="9">
        <f t="shared" si="32"/>
        <v>638.3171101321585</v>
      </c>
      <c r="J144" s="9">
        <f t="shared" si="32"/>
        <v>487.34167400881057</v>
      </c>
      <c r="K144" s="9">
        <f t="shared" si="32"/>
        <v>610.433127753304</v>
      </c>
      <c r="L144" s="9">
        <f t="shared" si="32"/>
        <v>764.6114537444934</v>
      </c>
      <c r="M144" s="1" t="s">
        <v>19</v>
      </c>
    </row>
    <row r="146" spans="3:12" ht="15"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3:12" ht="15">
      <c r="C147" s="1" t="s">
        <v>77</v>
      </c>
      <c r="D147" s="1" t="s">
        <v>77</v>
      </c>
      <c r="E147" s="1" t="s">
        <v>77</v>
      </c>
      <c r="F147" s="1" t="s">
        <v>77</v>
      </c>
      <c r="G147" s="1" t="s">
        <v>77</v>
      </c>
      <c r="H147" s="1" t="s">
        <v>77</v>
      </c>
      <c r="I147" s="1" t="s">
        <v>77</v>
      </c>
      <c r="J147" s="1" t="s">
        <v>77</v>
      </c>
      <c r="K147" s="1" t="s">
        <v>77</v>
      </c>
      <c r="L147" s="1" t="s">
        <v>77</v>
      </c>
    </row>
    <row r="148" spans="2:13" ht="15">
      <c r="B148" s="1" t="s">
        <v>42</v>
      </c>
      <c r="C148" s="8">
        <f aca="true" t="shared" si="33" ref="C148:L148">IF(C21&gt;0,C21,C138)*0.454</f>
        <v>0</v>
      </c>
      <c r="D148" s="8">
        <f t="shared" si="33"/>
        <v>0</v>
      </c>
      <c r="E148" s="8">
        <f t="shared" si="33"/>
        <v>0.11947368421052632</v>
      </c>
      <c r="F148" s="8">
        <f t="shared" si="33"/>
        <v>0.9534</v>
      </c>
      <c r="G148" s="8">
        <f t="shared" si="33"/>
        <v>0.90346</v>
      </c>
      <c r="H148" s="8">
        <f t="shared" si="33"/>
        <v>0.94432</v>
      </c>
      <c r="I148" s="8">
        <f t="shared" si="33"/>
        <v>0.9125399999999999</v>
      </c>
      <c r="J148" s="8">
        <f t="shared" si="33"/>
        <v>0.681</v>
      </c>
      <c r="K148" s="8">
        <f t="shared" si="33"/>
        <v>0.5675</v>
      </c>
      <c r="L148" s="8">
        <f t="shared" si="33"/>
        <v>0.681</v>
      </c>
      <c r="M148" s="1" t="s">
        <v>78</v>
      </c>
    </row>
    <row r="149" spans="3:13" ht="15">
      <c r="C149" s="1">
        <f>C148/0.454</f>
        <v>0</v>
      </c>
      <c r="D149" s="1">
        <f aca="true" t="shared" si="34" ref="D149:L149">D148/0.454</f>
        <v>0</v>
      </c>
      <c r="E149" s="1">
        <f t="shared" si="34"/>
        <v>0.2631578947368421</v>
      </c>
      <c r="F149" s="1">
        <f t="shared" si="34"/>
        <v>2.1</v>
      </c>
      <c r="G149" s="1">
        <f t="shared" si="34"/>
        <v>1.99</v>
      </c>
      <c r="H149" s="1">
        <f t="shared" si="34"/>
        <v>2.08</v>
      </c>
      <c r="I149" s="1">
        <f t="shared" si="34"/>
        <v>2.01</v>
      </c>
      <c r="J149" s="1">
        <f t="shared" si="34"/>
        <v>1.5</v>
      </c>
      <c r="K149" s="1">
        <f t="shared" si="34"/>
        <v>1.25</v>
      </c>
      <c r="L149" s="1">
        <f t="shared" si="34"/>
        <v>1.5</v>
      </c>
      <c r="M149" s="1" t="s">
        <v>48</v>
      </c>
    </row>
    <row r="150" spans="2:13" ht="15">
      <c r="B150" s="1" t="s">
        <v>72</v>
      </c>
      <c r="C150" s="9">
        <f>C140*0.454</f>
        <v>653.76</v>
      </c>
      <c r="D150" s="9">
        <f aca="true" t="shared" si="35" ref="D150:L150">D140*0.454</f>
        <v>653.76</v>
      </c>
      <c r="E150" s="9">
        <f t="shared" si="35"/>
        <v>610.176</v>
      </c>
      <c r="F150" s="9">
        <f t="shared" si="35"/>
        <v>196.12800000000001</v>
      </c>
      <c r="G150" s="9">
        <f t="shared" si="35"/>
        <v>305.088</v>
      </c>
      <c r="H150" s="9">
        <f t="shared" si="35"/>
        <v>392.25600000000003</v>
      </c>
      <c r="I150" s="9">
        <f t="shared" si="35"/>
        <v>457.632</v>
      </c>
      <c r="J150" s="9">
        <f t="shared" si="35"/>
        <v>348.672</v>
      </c>
      <c r="K150" s="9">
        <f t="shared" si="35"/>
        <v>435.84000000000003</v>
      </c>
      <c r="L150" s="9">
        <f t="shared" si="35"/>
        <v>544.8000000000001</v>
      </c>
      <c r="M150" s="1" t="s">
        <v>55</v>
      </c>
    </row>
    <row r="151" spans="2:13" ht="15">
      <c r="B151" s="1" t="s">
        <v>73</v>
      </c>
      <c r="C151" s="9">
        <f>C141*0.454</f>
        <v>653.76</v>
      </c>
      <c r="D151" s="9">
        <f aca="true" t="shared" si="36" ref="D151:L151">D141*0.454</f>
        <v>620.5738611111111</v>
      </c>
      <c r="E151" s="9">
        <f t="shared" si="36"/>
        <v>545.1215833333333</v>
      </c>
      <c r="F151" s="9">
        <f t="shared" si="36"/>
        <v>196.12800000000001</v>
      </c>
      <c r="G151" s="9">
        <f t="shared" si="36"/>
        <v>305.088</v>
      </c>
      <c r="H151" s="9">
        <f t="shared" si="36"/>
        <v>392.25600000000003</v>
      </c>
      <c r="I151" s="9">
        <f t="shared" si="36"/>
        <v>457.632</v>
      </c>
      <c r="J151" s="9">
        <f t="shared" si="36"/>
        <v>348.672</v>
      </c>
      <c r="K151" s="9">
        <f t="shared" si="36"/>
        <v>435.84000000000003</v>
      </c>
      <c r="L151" s="9">
        <f t="shared" si="36"/>
        <v>526.9106344444446</v>
      </c>
      <c r="M151" s="1" t="s">
        <v>55</v>
      </c>
    </row>
    <row r="152" spans="2:13" ht="15">
      <c r="B152" s="1" t="s">
        <v>74</v>
      </c>
      <c r="C152" s="9">
        <f>C142</f>
        <v>478</v>
      </c>
      <c r="D152" s="9">
        <f aca="true" t="shared" si="37" ref="D152:L152">D142</f>
        <v>479</v>
      </c>
      <c r="E152" s="9">
        <f t="shared" si="37"/>
        <v>480</v>
      </c>
      <c r="F152" s="9">
        <f t="shared" si="37"/>
        <v>481</v>
      </c>
      <c r="G152" s="9">
        <f t="shared" si="37"/>
        <v>482</v>
      </c>
      <c r="H152" s="9">
        <f t="shared" si="37"/>
        <v>483</v>
      </c>
      <c r="I152" s="9">
        <f t="shared" si="37"/>
        <v>484</v>
      </c>
      <c r="J152" s="9">
        <f t="shared" si="37"/>
        <v>485</v>
      </c>
      <c r="K152" s="9">
        <f t="shared" si="37"/>
        <v>486</v>
      </c>
      <c r="L152" s="9">
        <f t="shared" si="37"/>
        <v>487</v>
      </c>
      <c r="M152" s="1" t="s">
        <v>55</v>
      </c>
    </row>
    <row r="153" spans="2:13" ht="15">
      <c r="B153" s="1" t="s">
        <v>71</v>
      </c>
      <c r="C153" s="9">
        <f>C143*0.454</f>
        <v>458.88</v>
      </c>
      <c r="D153" s="9">
        <f aca="true" t="shared" si="38" ref="D153:L153">D143*0.454</f>
        <v>459.84000000000003</v>
      </c>
      <c r="E153" s="9">
        <f t="shared" si="38"/>
        <v>430.0799999999999</v>
      </c>
      <c r="F153" s="9">
        <f t="shared" si="38"/>
        <v>138.528</v>
      </c>
      <c r="G153" s="9">
        <f t="shared" si="38"/>
        <v>215.93599999999998</v>
      </c>
      <c r="H153" s="9">
        <f t="shared" si="38"/>
        <v>278.208</v>
      </c>
      <c r="I153" s="9">
        <f t="shared" si="38"/>
        <v>325.248</v>
      </c>
      <c r="J153" s="9">
        <f t="shared" si="38"/>
        <v>248.32</v>
      </c>
      <c r="K153" s="9">
        <f t="shared" si="38"/>
        <v>311.04</v>
      </c>
      <c r="L153" s="9">
        <f t="shared" si="38"/>
        <v>389.59999999999997</v>
      </c>
      <c r="M153" s="1" t="s">
        <v>55</v>
      </c>
    </row>
    <row r="154" spans="2:13" ht="15">
      <c r="B154" s="1" t="s">
        <v>75</v>
      </c>
      <c r="C154" s="9">
        <f>C144*0.454</f>
        <v>408.86208000000005</v>
      </c>
      <c r="D154" s="9">
        <f aca="true" t="shared" si="39" ref="D154:L154">D144*0.454</f>
        <v>409.71744</v>
      </c>
      <c r="E154" s="9">
        <f t="shared" si="39"/>
        <v>383.20127999999994</v>
      </c>
      <c r="F154" s="9">
        <f t="shared" si="39"/>
        <v>123.42844799999997</v>
      </c>
      <c r="G154" s="9">
        <f t="shared" si="39"/>
        <v>192.39897599999998</v>
      </c>
      <c r="H154" s="9">
        <f t="shared" si="39"/>
        <v>247.883328</v>
      </c>
      <c r="I154" s="9">
        <f t="shared" si="39"/>
        <v>289.79596799999996</v>
      </c>
      <c r="J154" s="9">
        <f t="shared" si="39"/>
        <v>221.25312</v>
      </c>
      <c r="K154" s="9">
        <f t="shared" si="39"/>
        <v>277.13664</v>
      </c>
      <c r="L154" s="9">
        <f t="shared" si="39"/>
        <v>347.1336</v>
      </c>
      <c r="M154" s="1" t="s">
        <v>55</v>
      </c>
    </row>
    <row r="155" spans="2:13" ht="15">
      <c r="B155" s="1" t="s">
        <v>76</v>
      </c>
      <c r="C155" s="8">
        <f>0.0635*C154^0.75*(0.956*C148)^1.097</f>
        <v>0</v>
      </c>
      <c r="D155" s="8">
        <f aca="true" t="shared" si="40" ref="D155:L155">0.0635*D154^0.75*(0.956*D148)^1.097</f>
        <v>0</v>
      </c>
      <c r="E155" s="8">
        <f t="shared" si="40"/>
        <v>0.5089485853064322</v>
      </c>
      <c r="F155" s="8">
        <f t="shared" si="40"/>
        <v>2.124038190496422</v>
      </c>
      <c r="G155" s="8">
        <f t="shared" si="40"/>
        <v>2.7933168151325662</v>
      </c>
      <c r="H155" s="8">
        <f t="shared" si="40"/>
        <v>3.54590642705014</v>
      </c>
      <c r="I155" s="8">
        <f t="shared" si="40"/>
        <v>3.8397383619521515</v>
      </c>
      <c r="J155" s="8">
        <f t="shared" si="40"/>
        <v>2.274916536337514</v>
      </c>
      <c r="K155" s="8">
        <f t="shared" si="40"/>
        <v>2.205246027585212</v>
      </c>
      <c r="L155" s="8">
        <f t="shared" si="40"/>
        <v>3.189120315133047</v>
      </c>
      <c r="M155" s="1" t="s">
        <v>79</v>
      </c>
    </row>
    <row r="156" spans="2:13" ht="15">
      <c r="B156" s="1" t="s">
        <v>80</v>
      </c>
      <c r="C156" s="7">
        <f>IF(C148&gt;0,C148*(268-(29.4*(C155/C148))),0)</f>
        <v>0</v>
      </c>
      <c r="D156" s="7">
        <f aca="true" t="shared" si="41" ref="D156:L156">IF(D148&gt;0,D148*(268-(29.4*(D155/D148))),0)</f>
        <v>0</v>
      </c>
      <c r="E156" s="7">
        <f t="shared" si="41"/>
        <v>17.055858960411946</v>
      </c>
      <c r="F156" s="7">
        <f t="shared" si="41"/>
        <v>193.06447719940522</v>
      </c>
      <c r="G156" s="7">
        <f t="shared" si="41"/>
        <v>160.00376563510258</v>
      </c>
      <c r="H156" s="7">
        <f t="shared" si="41"/>
        <v>148.8281110447259</v>
      </c>
      <c r="I156" s="7">
        <f t="shared" si="41"/>
        <v>131.67241215860673</v>
      </c>
      <c r="J156" s="7">
        <f t="shared" si="41"/>
        <v>115.6254538316771</v>
      </c>
      <c r="K156" s="7">
        <f t="shared" si="41"/>
        <v>87.25576678899476</v>
      </c>
      <c r="L156" s="7">
        <f t="shared" si="41"/>
        <v>88.74786273508843</v>
      </c>
      <c r="M156" s="1" t="s">
        <v>47</v>
      </c>
    </row>
    <row r="157" spans="3:13" ht="15">
      <c r="C157" s="7">
        <f>C156*0.16</f>
        <v>0</v>
      </c>
      <c r="D157" s="7">
        <f aca="true" t="shared" si="42" ref="D157:L157">D156*0.16</f>
        <v>0</v>
      </c>
      <c r="E157" s="7">
        <f t="shared" si="42"/>
        <v>2.7289374336659113</v>
      </c>
      <c r="F157" s="7">
        <f t="shared" si="42"/>
        <v>30.890316351904836</v>
      </c>
      <c r="G157" s="7">
        <f t="shared" si="42"/>
        <v>25.600602501616414</v>
      </c>
      <c r="H157" s="7">
        <f t="shared" si="42"/>
        <v>23.81249776715614</v>
      </c>
      <c r="I157" s="7">
        <f t="shared" si="42"/>
        <v>21.06758594537708</v>
      </c>
      <c r="J157" s="7">
        <f t="shared" si="42"/>
        <v>18.500072613068337</v>
      </c>
      <c r="K157" s="7">
        <f t="shared" si="42"/>
        <v>13.960922686239162</v>
      </c>
      <c r="L157" s="7">
        <f t="shared" si="42"/>
        <v>14.19965803761415</v>
      </c>
      <c r="M157" s="1" t="s">
        <v>81</v>
      </c>
    </row>
    <row r="158" ht="15">
      <c r="B158" s="1" t="s">
        <v>43</v>
      </c>
    </row>
    <row r="159" spans="2:13" ht="15">
      <c r="B159" s="1" t="s">
        <v>45</v>
      </c>
      <c r="C159" s="8">
        <f>IF(C17&gt;190,((0.69*C17)-69.2)*(($C$7*0.454)/45),0)</f>
        <v>0</v>
      </c>
      <c r="D159" s="8">
        <f aca="true" t="shared" si="43" ref="D159:L159">IF(D17&gt;190,((0.69*D17)-69.2)*(($C$7*0.454)/45),0)</f>
        <v>75.86087777777777</v>
      </c>
      <c r="E159" s="8">
        <f t="shared" si="43"/>
        <v>108.92721111111112</v>
      </c>
      <c r="F159" s="8">
        <f t="shared" si="43"/>
        <v>0</v>
      </c>
      <c r="G159" s="8">
        <f t="shared" si="43"/>
        <v>0</v>
      </c>
      <c r="H159" s="8">
        <f t="shared" si="43"/>
        <v>0</v>
      </c>
      <c r="I159" s="8">
        <f t="shared" si="43"/>
        <v>0</v>
      </c>
      <c r="J159" s="8">
        <f t="shared" si="43"/>
        <v>0</v>
      </c>
      <c r="K159" s="8">
        <f t="shared" si="43"/>
        <v>0</v>
      </c>
      <c r="L159" s="8">
        <f t="shared" si="43"/>
        <v>59.989037777777774</v>
      </c>
      <c r="M159" s="1" t="s">
        <v>47</v>
      </c>
    </row>
    <row r="160" spans="3:13" ht="15">
      <c r="C160" s="7">
        <f>C159*0.16</f>
        <v>0</v>
      </c>
      <c r="D160" s="7">
        <f aca="true" t="shared" si="44" ref="D160:L160">D159*0.16</f>
        <v>12.137740444444445</v>
      </c>
      <c r="E160" s="7">
        <f t="shared" si="44"/>
        <v>17.42835377777778</v>
      </c>
      <c r="F160" s="7">
        <f t="shared" si="44"/>
        <v>0</v>
      </c>
      <c r="G160" s="7">
        <f t="shared" si="44"/>
        <v>0</v>
      </c>
      <c r="H160" s="7">
        <f t="shared" si="44"/>
        <v>0</v>
      </c>
      <c r="I160" s="7">
        <f t="shared" si="44"/>
        <v>0</v>
      </c>
      <c r="J160" s="7">
        <f t="shared" si="44"/>
        <v>0</v>
      </c>
      <c r="K160" s="7">
        <f t="shared" si="44"/>
        <v>0</v>
      </c>
      <c r="L160" s="7">
        <f t="shared" si="44"/>
        <v>9.598246044444444</v>
      </c>
      <c r="M160" s="1" t="s">
        <v>81</v>
      </c>
    </row>
    <row r="161" spans="2:13" ht="15">
      <c r="B161" s="1" t="s">
        <v>46</v>
      </c>
      <c r="C161" s="8">
        <f>IF(C17&lt;190,0,664*(($C$7*0.454)/45))/454</f>
        <v>0</v>
      </c>
      <c r="D161" s="8">
        <f aca="true" t="shared" si="45" ref="D161:L161">IF(D17&lt;190,0,664*(($C$7*0.454)/45))/454</f>
        <v>1.4017777777777778</v>
      </c>
      <c r="E161" s="8">
        <f t="shared" si="45"/>
        <v>1.4017777777777778</v>
      </c>
      <c r="F161" s="8">
        <f t="shared" si="45"/>
        <v>0</v>
      </c>
      <c r="G161" s="8">
        <f t="shared" si="45"/>
        <v>0</v>
      </c>
      <c r="H161" s="8">
        <f t="shared" si="45"/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1.4017777777777778</v>
      </c>
      <c r="M161" s="1" t="s">
        <v>48</v>
      </c>
    </row>
    <row r="162" spans="2:13" ht="15">
      <c r="B162" s="1" t="s">
        <v>54</v>
      </c>
      <c r="C162" s="7">
        <f>IF(C17&gt;190,(18+((C17-190)*0.665))*($C$7*0.454/45),0)</f>
        <v>0</v>
      </c>
      <c r="D162" s="7">
        <f aca="true" t="shared" si="46" ref="D162:L162">IF(D17&gt;190,(18+((D17-190)*0.665))*($C$7*0.454/45),0)</f>
        <v>33.18613888888889</v>
      </c>
      <c r="E162" s="7">
        <f t="shared" si="46"/>
        <v>65.05441666666667</v>
      </c>
      <c r="F162" s="7">
        <f t="shared" si="46"/>
        <v>0</v>
      </c>
      <c r="G162" s="7">
        <f t="shared" si="46"/>
        <v>0</v>
      </c>
      <c r="H162" s="7">
        <f t="shared" si="46"/>
        <v>0</v>
      </c>
      <c r="I162" s="7">
        <f t="shared" si="46"/>
        <v>0</v>
      </c>
      <c r="J162" s="7">
        <f t="shared" si="46"/>
        <v>0</v>
      </c>
      <c r="K162" s="7">
        <f t="shared" si="46"/>
        <v>0</v>
      </c>
      <c r="L162" s="7">
        <f t="shared" si="46"/>
        <v>17.889365555555557</v>
      </c>
      <c r="M162" s="1" t="s">
        <v>55</v>
      </c>
    </row>
    <row r="163" spans="3:12" ht="15"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3" ht="15">
      <c r="B164" s="1" t="s">
        <v>4</v>
      </c>
      <c r="C164" s="7">
        <f>C18*C19</f>
        <v>2.64</v>
      </c>
      <c r="D164" s="7">
        <f aca="true" t="shared" si="47" ref="D164:L164">D18*D19</f>
        <v>0</v>
      </c>
      <c r="E164" s="7">
        <f t="shared" si="47"/>
        <v>0</v>
      </c>
      <c r="F164" s="7">
        <f t="shared" si="47"/>
        <v>0</v>
      </c>
      <c r="G164" s="7">
        <f t="shared" si="47"/>
        <v>0</v>
      </c>
      <c r="H164" s="7">
        <f t="shared" si="47"/>
        <v>0</v>
      </c>
      <c r="I164" s="7">
        <f t="shared" si="47"/>
        <v>0</v>
      </c>
      <c r="J164" s="7">
        <f t="shared" si="47"/>
        <v>0</v>
      </c>
      <c r="K164" s="7">
        <f t="shared" si="47"/>
        <v>0</v>
      </c>
      <c r="L164" s="7">
        <f t="shared" si="47"/>
        <v>0</v>
      </c>
      <c r="M164" s="1" t="s">
        <v>21</v>
      </c>
    </row>
    <row r="165" spans="3:13" ht="15">
      <c r="C165" s="7">
        <f>C164*454/6.38</f>
        <v>187.86206896551724</v>
      </c>
      <c r="D165" s="7">
        <f aca="true" t="shared" si="48" ref="D165:L165">D164*454/6.38</f>
        <v>0</v>
      </c>
      <c r="E165" s="7">
        <f t="shared" si="48"/>
        <v>0</v>
      </c>
      <c r="F165" s="7">
        <f t="shared" si="48"/>
        <v>0</v>
      </c>
      <c r="G165" s="7">
        <f t="shared" si="48"/>
        <v>0</v>
      </c>
      <c r="H165" s="7">
        <f t="shared" si="48"/>
        <v>0</v>
      </c>
      <c r="I165" s="7">
        <f t="shared" si="48"/>
        <v>0</v>
      </c>
      <c r="J165" s="7">
        <f t="shared" si="48"/>
        <v>0</v>
      </c>
      <c r="K165" s="7">
        <f t="shared" si="48"/>
        <v>0</v>
      </c>
      <c r="L165" s="7">
        <f t="shared" si="48"/>
        <v>0</v>
      </c>
      <c r="M165" s="1" t="s">
        <v>82</v>
      </c>
    </row>
    <row r="166" ht="15">
      <c r="B166" s="1" t="s">
        <v>49</v>
      </c>
    </row>
    <row r="168" spans="2:12" ht="15">
      <c r="B168" s="1" t="s">
        <v>50</v>
      </c>
      <c r="C168" s="14">
        <f>IF(C14&lt;12,0.1128,0.0869)</f>
        <v>0.0869</v>
      </c>
      <c r="D168" s="14">
        <f aca="true" t="shared" si="49" ref="D168:L168">IF(D14&lt;12,0.1128,0.0869)</f>
        <v>0.0869</v>
      </c>
      <c r="E168" s="14">
        <f t="shared" si="49"/>
        <v>0.0869</v>
      </c>
      <c r="F168" s="14">
        <f t="shared" si="49"/>
        <v>0.1128</v>
      </c>
      <c r="G168" s="14">
        <f t="shared" si="49"/>
        <v>0.1128</v>
      </c>
      <c r="H168" s="14">
        <f t="shared" si="49"/>
        <v>0.0869</v>
      </c>
      <c r="I168" s="14">
        <f t="shared" si="49"/>
        <v>0.0869</v>
      </c>
      <c r="J168" s="14">
        <f t="shared" si="49"/>
        <v>0.1128</v>
      </c>
      <c r="K168" s="14">
        <f t="shared" si="49"/>
        <v>0.1128</v>
      </c>
      <c r="L168" s="14">
        <f t="shared" si="49"/>
        <v>0.1128</v>
      </c>
    </row>
    <row r="169" spans="2:12" ht="15">
      <c r="B169" s="1" t="s">
        <v>51</v>
      </c>
      <c r="C169" s="15">
        <f>IF((C31/0.454)&lt;1,0.95,C31/0.454)</f>
        <v>1.607929515418502</v>
      </c>
      <c r="D169" s="15">
        <f aca="true" t="shared" si="50" ref="D169:L169">IF((D31/0.454)&lt;1,0.95,D31/0.454)</f>
        <v>1.3436123348017621</v>
      </c>
      <c r="E169" s="15">
        <f t="shared" si="50"/>
        <v>1.5638766519823788</v>
      </c>
      <c r="F169" s="15">
        <f t="shared" si="50"/>
        <v>1.5859030837004404</v>
      </c>
      <c r="G169" s="15">
        <f t="shared" si="50"/>
        <v>1.5638766519823788</v>
      </c>
      <c r="H169" s="15">
        <f t="shared" si="50"/>
        <v>1.4096916299559472</v>
      </c>
      <c r="I169" s="15">
        <f t="shared" si="50"/>
        <v>1.4317180616740088</v>
      </c>
      <c r="J169" s="15">
        <f t="shared" si="50"/>
        <v>1.762114537444934</v>
      </c>
      <c r="K169" s="15">
        <f t="shared" si="50"/>
        <v>1.762114537444934</v>
      </c>
      <c r="L169" s="15">
        <f t="shared" si="50"/>
        <v>1.762114537444934</v>
      </c>
    </row>
    <row r="170" spans="2:12" ht="15">
      <c r="B170" s="1" t="s">
        <v>52</v>
      </c>
      <c r="C170" s="11">
        <f>1-EXP(-(0.564-0.1214*2)*((C16/7+2.36)))</f>
        <v>0.9992398782954965</v>
      </c>
      <c r="D170" s="11">
        <f aca="true" t="shared" si="51" ref="D170:L170">1-EXP(-(0.564-0.1214*2)*((D16/7+2.36)))</f>
        <v>0.531412299225694</v>
      </c>
      <c r="E170" s="11">
        <f t="shared" si="51"/>
        <v>0.531412299225694</v>
      </c>
      <c r="F170" s="11">
        <f t="shared" si="51"/>
        <v>0.531412299225694</v>
      </c>
      <c r="G170" s="11">
        <f t="shared" si="51"/>
        <v>0.531412299225694</v>
      </c>
      <c r="H170" s="11">
        <f t="shared" si="51"/>
        <v>0.531412299225694</v>
      </c>
      <c r="I170" s="11">
        <f t="shared" si="51"/>
        <v>0.531412299225694</v>
      </c>
      <c r="J170" s="11">
        <f t="shared" si="51"/>
        <v>0.531412299225694</v>
      </c>
      <c r="K170" s="11">
        <f t="shared" si="51"/>
        <v>0.531412299225694</v>
      </c>
      <c r="L170" s="11">
        <f t="shared" si="51"/>
        <v>0.531412299225694</v>
      </c>
    </row>
    <row r="172" spans="3:12" ht="15">
      <c r="C172" s="1" t="s">
        <v>61</v>
      </c>
      <c r="D172" s="1" t="s">
        <v>61</v>
      </c>
      <c r="E172" s="1" t="s">
        <v>61</v>
      </c>
      <c r="F172" s="1" t="s">
        <v>61</v>
      </c>
      <c r="G172" s="1" t="s">
        <v>61</v>
      </c>
      <c r="H172" s="1" t="s">
        <v>61</v>
      </c>
      <c r="I172" s="1" t="s">
        <v>61</v>
      </c>
      <c r="J172" s="1" t="s">
        <v>61</v>
      </c>
      <c r="K172" s="1" t="s">
        <v>61</v>
      </c>
      <c r="L172" s="1" t="s">
        <v>61</v>
      </c>
    </row>
    <row r="173" spans="2:12" ht="15">
      <c r="B173" s="10" t="s">
        <v>57</v>
      </c>
      <c r="C173" s="15">
        <f aca="true" t="shared" si="52" ref="C173:L173">((((C15*0.454)-C162)^0.75)*(0.2435*(C31/0.454)-0.0466*(C31/0.454)^2-C168))/C169</f>
        <v>15.267353826676311</v>
      </c>
      <c r="D173" s="15">
        <f t="shared" si="52"/>
        <v>14.922305643430793</v>
      </c>
      <c r="E173" s="15">
        <f t="shared" si="52"/>
        <v>13.431613502581675</v>
      </c>
      <c r="F173" s="15">
        <f t="shared" si="52"/>
        <v>5.321159952430395</v>
      </c>
      <c r="G173" s="15">
        <f t="shared" si="52"/>
        <v>7.413600023840193</v>
      </c>
      <c r="H173" s="15">
        <f t="shared" si="52"/>
        <v>10.557088032170483</v>
      </c>
      <c r="I173" s="15">
        <f t="shared" si="52"/>
        <v>11.843016353168116</v>
      </c>
      <c r="J173" s="15">
        <f t="shared" si="52"/>
        <v>8.10104553329679</v>
      </c>
      <c r="K173" s="15">
        <f t="shared" si="52"/>
        <v>9.576869796585123</v>
      </c>
      <c r="L173" s="15">
        <f t="shared" si="52"/>
        <v>11.052818508679346</v>
      </c>
    </row>
    <row r="174" spans="2:12" ht="15">
      <c r="B174" s="10" t="s">
        <v>58</v>
      </c>
      <c r="C174" s="15">
        <f aca="true" t="shared" si="53" ref="C174:L174">IF(C17&lt;210,C173,IF(AND(C17&gt;210,C17&lt;259),C173*(1+((210-C17)*0.0025)),(((1.71-(0.69*EXP(0.35*(C17-280)))))/100)*(C15*0.454)))</f>
        <v>15.267353826676311</v>
      </c>
      <c r="D174" s="15">
        <f t="shared" si="53"/>
        <v>14.735776822887908</v>
      </c>
      <c r="E174" s="15">
        <f t="shared" si="53"/>
        <v>10.845746273407814</v>
      </c>
      <c r="F174" s="15">
        <f t="shared" si="53"/>
        <v>5.321159952430395</v>
      </c>
      <c r="G174" s="15">
        <f t="shared" si="53"/>
        <v>7.413600023840193</v>
      </c>
      <c r="H174" s="15">
        <f t="shared" si="53"/>
        <v>10.557088032170483</v>
      </c>
      <c r="I174" s="15">
        <f t="shared" si="53"/>
        <v>11.843016353168116</v>
      </c>
      <c r="J174" s="15">
        <f t="shared" si="53"/>
        <v>8.10104553329679</v>
      </c>
      <c r="K174" s="15">
        <f t="shared" si="53"/>
        <v>9.576869796585123</v>
      </c>
      <c r="L174" s="15">
        <f t="shared" si="53"/>
        <v>11.052818508679346</v>
      </c>
    </row>
    <row r="175" spans="2:12" ht="15">
      <c r="B175" s="10" t="s">
        <v>59</v>
      </c>
      <c r="C175" s="15">
        <f aca="true" t="shared" si="54" ref="C175:L175">0.0185*C15*0.454+0.305*((0.4*(C18*0.454)+15*(C18*0.454)*C20))*C170</f>
        <v>23.66767967580619</v>
      </c>
      <c r="D175" s="15">
        <f t="shared" si="54"/>
        <v>12.5985</v>
      </c>
      <c r="E175" s="15">
        <f t="shared" si="54"/>
        <v>11.7586</v>
      </c>
      <c r="F175" s="15">
        <f t="shared" si="54"/>
        <v>3.77955</v>
      </c>
      <c r="G175" s="15">
        <f t="shared" si="54"/>
        <v>5.8793</v>
      </c>
      <c r="H175" s="15">
        <f t="shared" si="54"/>
        <v>7.5591</v>
      </c>
      <c r="I175" s="15">
        <f t="shared" si="54"/>
        <v>8.818950000000001</v>
      </c>
      <c r="J175" s="15">
        <f t="shared" si="54"/>
        <v>6.7192</v>
      </c>
      <c r="K175" s="15">
        <f t="shared" si="54"/>
        <v>8.399000000000001</v>
      </c>
      <c r="L175" s="15">
        <f t="shared" si="54"/>
        <v>10.498750000000001</v>
      </c>
    </row>
    <row r="176" spans="2:12" ht="15">
      <c r="B176" s="10" t="s">
        <v>60</v>
      </c>
      <c r="C176" s="16">
        <f>((1.97-(0.75*EXP(0.16*(C17-280))))/100)*(C15*0.454)</f>
        <v>13.4157</v>
      </c>
      <c r="D176" s="16">
        <f aca="true" t="shared" si="55" ref="D176:L176">((1.97-(0.75*EXP(0.16*(D17-280))))/100)*(D15*0.454)</f>
        <v>13.415544566093034</v>
      </c>
      <c r="E176" s="16">
        <f t="shared" si="55"/>
        <v>12.088867516669373</v>
      </c>
      <c r="F176" s="16">
        <f t="shared" si="55"/>
        <v>4.02471</v>
      </c>
      <c r="G176" s="16">
        <f t="shared" si="55"/>
        <v>6.26066</v>
      </c>
      <c r="H176" s="16">
        <f t="shared" si="55"/>
        <v>8.04942</v>
      </c>
      <c r="I176" s="16">
        <f t="shared" si="55"/>
        <v>9.39098999986503</v>
      </c>
      <c r="J176" s="16">
        <f t="shared" si="55"/>
        <v>7.15504</v>
      </c>
      <c r="K176" s="16">
        <f t="shared" si="55"/>
        <v>8.9438</v>
      </c>
      <c r="L176" s="16">
        <f t="shared" si="55"/>
        <v>11.179747215971306</v>
      </c>
    </row>
    <row r="177" spans="2:13" ht="15">
      <c r="B177" s="10" t="s">
        <v>62</v>
      </c>
      <c r="C177" s="15">
        <f aca="true" t="shared" si="56" ref="C177:L177">IF(animal_type=1,C175,IF(animal_type=2,C176,IF(dcc&gt;210,C174,C173)))/0.454</f>
        <v>52.131453030410114</v>
      </c>
      <c r="D177" s="15">
        <f t="shared" si="56"/>
        <v>27.749999999999996</v>
      </c>
      <c r="E177" s="15">
        <f t="shared" si="56"/>
        <v>25.9</v>
      </c>
      <c r="F177" s="15">
        <f t="shared" si="56"/>
        <v>8.325</v>
      </c>
      <c r="G177" s="15">
        <f t="shared" si="56"/>
        <v>12.95</v>
      </c>
      <c r="H177" s="15">
        <f t="shared" si="56"/>
        <v>16.65</v>
      </c>
      <c r="I177" s="15">
        <f t="shared" si="56"/>
        <v>19.425</v>
      </c>
      <c r="J177" s="15">
        <f t="shared" si="56"/>
        <v>14.799999999999999</v>
      </c>
      <c r="K177" s="15">
        <f t="shared" si="56"/>
        <v>18.5</v>
      </c>
      <c r="L177" s="15">
        <f t="shared" si="56"/>
        <v>23.125</v>
      </c>
      <c r="M177" s="1" t="s">
        <v>19</v>
      </c>
    </row>
    <row r="182" ht="15">
      <c r="B182" s="1" t="s">
        <v>63</v>
      </c>
    </row>
    <row r="183" spans="2:13" ht="15">
      <c r="B183" s="1" t="s">
        <v>64</v>
      </c>
      <c r="C183" s="15">
        <f aca="true" t="shared" si="57" ref="C183:L183">C22*C26</f>
        <v>30.030000000000005</v>
      </c>
      <c r="D183" s="15">
        <f t="shared" si="57"/>
        <v>30.492</v>
      </c>
      <c r="E183" s="15">
        <f t="shared" si="57"/>
        <v>13.52</v>
      </c>
      <c r="F183" s="15">
        <f t="shared" si="57"/>
        <v>8.16</v>
      </c>
      <c r="G183" s="15">
        <f t="shared" si="57"/>
        <v>11.356</v>
      </c>
      <c r="H183" s="15">
        <f t="shared" si="57"/>
        <v>21.203000000000003</v>
      </c>
      <c r="I183" s="15">
        <f t="shared" si="57"/>
        <v>20.96</v>
      </c>
      <c r="J183" s="15">
        <f t="shared" si="57"/>
        <v>11.25</v>
      </c>
      <c r="K183" s="15">
        <f t="shared" si="57"/>
        <v>16</v>
      </c>
      <c r="L183" s="15">
        <f t="shared" si="57"/>
        <v>17.6</v>
      </c>
      <c r="M183" s="1" t="s">
        <v>19</v>
      </c>
    </row>
    <row r="184" spans="2:13" ht="15">
      <c r="B184" s="1" t="s">
        <v>65</v>
      </c>
      <c r="C184" s="15">
        <f aca="true" t="shared" si="58" ref="C184:L184">C22*C27</f>
        <v>30.030000000000005</v>
      </c>
      <c r="D184" s="15">
        <f t="shared" si="58"/>
        <v>30.492</v>
      </c>
      <c r="E184" s="15">
        <f t="shared" si="58"/>
        <v>13.52</v>
      </c>
      <c r="F184" s="15">
        <f t="shared" si="58"/>
        <v>8.16</v>
      </c>
      <c r="G184" s="15">
        <f t="shared" si="58"/>
        <v>11.356</v>
      </c>
      <c r="H184" s="15">
        <f t="shared" si="58"/>
        <v>21.203000000000003</v>
      </c>
      <c r="I184" s="15">
        <f t="shared" si="58"/>
        <v>20.96</v>
      </c>
      <c r="J184" s="15">
        <f t="shared" si="58"/>
        <v>11.25</v>
      </c>
      <c r="K184" s="15">
        <f t="shared" si="58"/>
        <v>16</v>
      </c>
      <c r="L184" s="15">
        <f t="shared" si="58"/>
        <v>17.6</v>
      </c>
      <c r="M184" s="1" t="s">
        <v>19</v>
      </c>
    </row>
    <row r="185" spans="2:13" ht="15">
      <c r="B185" s="1" t="s">
        <v>66</v>
      </c>
      <c r="C185" s="15">
        <f aca="true" t="shared" si="59" ref="C185:L185">C184*C28</f>
        <v>30.030000000000005</v>
      </c>
      <c r="D185" s="15">
        <f t="shared" si="59"/>
        <v>30.492</v>
      </c>
      <c r="E185" s="15">
        <f t="shared" si="59"/>
        <v>13.52</v>
      </c>
      <c r="F185" s="15">
        <f t="shared" si="59"/>
        <v>8.16</v>
      </c>
      <c r="G185" s="15">
        <f t="shared" si="59"/>
        <v>11.356</v>
      </c>
      <c r="H185" s="15">
        <f t="shared" si="59"/>
        <v>21.203000000000003</v>
      </c>
      <c r="I185" s="15">
        <f t="shared" si="59"/>
        <v>20.96</v>
      </c>
      <c r="J185" s="15">
        <f t="shared" si="59"/>
        <v>11.25</v>
      </c>
      <c r="K185" s="15">
        <f t="shared" si="59"/>
        <v>16</v>
      </c>
      <c r="L185" s="15">
        <f t="shared" si="59"/>
        <v>17.6</v>
      </c>
      <c r="M185" s="1" t="s">
        <v>19</v>
      </c>
    </row>
    <row r="186" spans="2:13" ht="15">
      <c r="B186" s="1" t="s">
        <v>67</v>
      </c>
      <c r="C186" s="15">
        <f>C183-C185</f>
        <v>0</v>
      </c>
      <c r="D186" s="15">
        <f aca="true" t="shared" si="60" ref="D186:L186">D183-D185</f>
        <v>0</v>
      </c>
      <c r="E186" s="15">
        <f t="shared" si="60"/>
        <v>0</v>
      </c>
      <c r="F186" s="15">
        <f t="shared" si="60"/>
        <v>0</v>
      </c>
      <c r="G186" s="15">
        <f t="shared" si="60"/>
        <v>0</v>
      </c>
      <c r="H186" s="15">
        <f t="shared" si="60"/>
        <v>0</v>
      </c>
      <c r="I186" s="15">
        <f t="shared" si="60"/>
        <v>0</v>
      </c>
      <c r="J186" s="15">
        <f t="shared" si="60"/>
        <v>0</v>
      </c>
      <c r="K186" s="15">
        <f t="shared" si="60"/>
        <v>0</v>
      </c>
      <c r="L186" s="15">
        <f t="shared" si="60"/>
        <v>0</v>
      </c>
      <c r="M186" s="1" t="s">
        <v>19</v>
      </c>
    </row>
    <row r="187" spans="2:12" ht="15">
      <c r="B187" s="1" t="s">
        <v>176</v>
      </c>
      <c r="C187" s="15">
        <f aca="true" t="shared" si="61" ref="C187:L187">C22-C184</f>
        <v>24.569999999999997</v>
      </c>
      <c r="D187" s="15">
        <f t="shared" si="61"/>
        <v>0.30799999999999983</v>
      </c>
      <c r="E187" s="15">
        <f t="shared" si="61"/>
        <v>12.48</v>
      </c>
      <c r="F187" s="15">
        <f t="shared" si="61"/>
        <v>3.84</v>
      </c>
      <c r="G187" s="15">
        <f t="shared" si="61"/>
        <v>5.343999999999999</v>
      </c>
      <c r="H187" s="15">
        <f t="shared" si="61"/>
        <v>2.0969999999999978</v>
      </c>
      <c r="I187" s="15">
        <f t="shared" si="61"/>
        <v>5.239999999999998</v>
      </c>
      <c r="J187" s="15">
        <f t="shared" si="61"/>
        <v>3.75</v>
      </c>
      <c r="K187" s="15">
        <f t="shared" si="61"/>
        <v>4</v>
      </c>
      <c r="L187" s="15">
        <f t="shared" si="61"/>
        <v>4.399999999999999</v>
      </c>
    </row>
    <row r="188" spans="2:13" ht="15">
      <c r="B188" s="1" t="s">
        <v>68</v>
      </c>
      <c r="C188" s="15">
        <f aca="true" t="shared" si="62" ref="C188:L188">C22*C30</f>
        <v>8.8998</v>
      </c>
      <c r="D188" s="15">
        <f t="shared" si="62"/>
        <v>3.2648</v>
      </c>
      <c r="E188" s="15">
        <f t="shared" si="62"/>
        <v>4.186</v>
      </c>
      <c r="F188" s="15">
        <f t="shared" si="62"/>
        <v>1.524</v>
      </c>
      <c r="G188" s="15">
        <f t="shared" si="62"/>
        <v>1.7869</v>
      </c>
      <c r="H188" s="15">
        <f t="shared" si="62"/>
        <v>2.9824</v>
      </c>
      <c r="I188" s="15">
        <f t="shared" si="62"/>
        <v>2.9606</v>
      </c>
      <c r="J188" s="15">
        <f t="shared" si="62"/>
        <v>2.5500000000000003</v>
      </c>
      <c r="K188" s="15">
        <f t="shared" si="62"/>
        <v>3.4000000000000004</v>
      </c>
      <c r="L188" s="15">
        <f t="shared" si="62"/>
        <v>3.74</v>
      </c>
      <c r="M188" s="1" t="s">
        <v>19</v>
      </c>
    </row>
    <row r="189" spans="2:13" ht="15">
      <c r="B189" s="1" t="s">
        <v>69</v>
      </c>
      <c r="C189" s="15">
        <f aca="true" t="shared" si="63" ref="C189:L189">C184*C29</f>
        <v>4.654650000000001</v>
      </c>
      <c r="D189" s="15">
        <f t="shared" si="63"/>
        <v>4.72626</v>
      </c>
      <c r="E189" s="15">
        <f t="shared" si="63"/>
        <v>2.0956</v>
      </c>
      <c r="F189" s="15">
        <f t="shared" si="63"/>
        <v>1.2648</v>
      </c>
      <c r="G189" s="15">
        <f t="shared" si="63"/>
        <v>1.76018</v>
      </c>
      <c r="H189" s="15">
        <f t="shared" si="63"/>
        <v>3.2864650000000006</v>
      </c>
      <c r="I189" s="15">
        <f t="shared" si="63"/>
        <v>3.2488</v>
      </c>
      <c r="J189" s="15">
        <f t="shared" si="63"/>
        <v>1.74375</v>
      </c>
      <c r="K189" s="15">
        <f t="shared" si="63"/>
        <v>2.48</v>
      </c>
      <c r="L189" s="15">
        <f t="shared" si="63"/>
        <v>2.728</v>
      </c>
      <c r="M189" s="1" t="s">
        <v>19</v>
      </c>
    </row>
    <row r="190" spans="2:13" ht="15">
      <c r="B190" s="1" t="s">
        <v>70</v>
      </c>
      <c r="C190" s="15">
        <f>C188-C189</f>
        <v>4.24515</v>
      </c>
      <c r="D190" s="15">
        <f aca="true" t="shared" si="64" ref="D190:L190">D188-D189</f>
        <v>-1.4614599999999998</v>
      </c>
      <c r="E190" s="15">
        <f t="shared" si="64"/>
        <v>2.0904</v>
      </c>
      <c r="F190" s="15">
        <f t="shared" si="64"/>
        <v>0.2592000000000001</v>
      </c>
      <c r="G190" s="15">
        <f t="shared" si="64"/>
        <v>0.026719999999999855</v>
      </c>
      <c r="H190" s="15">
        <f t="shared" si="64"/>
        <v>-0.3040650000000005</v>
      </c>
      <c r="I190" s="15">
        <f t="shared" si="64"/>
        <v>-0.28820000000000023</v>
      </c>
      <c r="J190" s="15">
        <f t="shared" si="64"/>
        <v>0.8062500000000004</v>
      </c>
      <c r="K190" s="15">
        <f t="shared" si="64"/>
        <v>0.9200000000000004</v>
      </c>
      <c r="L190" s="15">
        <f t="shared" si="64"/>
        <v>1.012</v>
      </c>
      <c r="M190" s="1" t="s">
        <v>19</v>
      </c>
    </row>
    <row r="191" spans="2:12" ht="15">
      <c r="B191" s="1" t="s">
        <v>175</v>
      </c>
      <c r="C191" s="12">
        <f>C190/C187</f>
        <v>0.17277777777777778</v>
      </c>
      <c r="D191" s="12">
        <f aca="true" t="shared" si="65" ref="D191:L191">D190/D187</f>
        <v>-4.745000000000002</v>
      </c>
      <c r="E191" s="12">
        <f t="shared" si="65"/>
        <v>0.16749999999999998</v>
      </c>
      <c r="F191" s="12">
        <f t="shared" si="65"/>
        <v>0.06750000000000003</v>
      </c>
      <c r="G191" s="12">
        <f t="shared" si="65"/>
        <v>0.004999999999999973</v>
      </c>
      <c r="H191" s="12">
        <f t="shared" si="65"/>
        <v>-0.14500000000000038</v>
      </c>
      <c r="I191" s="12">
        <f t="shared" si="65"/>
        <v>-0.05500000000000006</v>
      </c>
      <c r="J191" s="12">
        <f t="shared" si="65"/>
        <v>0.2150000000000001</v>
      </c>
      <c r="K191" s="12">
        <f t="shared" si="65"/>
        <v>0.2300000000000001</v>
      </c>
      <c r="L191" s="12">
        <f t="shared" si="65"/>
        <v>0.23000000000000007</v>
      </c>
    </row>
    <row r="192" spans="2:13" ht="15">
      <c r="B192" s="1" t="s">
        <v>68</v>
      </c>
      <c r="C192" s="7">
        <f>C188*0.454*0.16*1000</f>
        <v>646.4814720000002</v>
      </c>
      <c r="D192" s="7">
        <f aca="true" t="shared" si="66" ref="D192:L192">D188*0.454*0.16*1000</f>
        <v>237.15507200000002</v>
      </c>
      <c r="E192" s="7">
        <f t="shared" si="66"/>
        <v>304.07104000000004</v>
      </c>
      <c r="F192" s="7">
        <f t="shared" si="66"/>
        <v>110.70336000000002</v>
      </c>
      <c r="G192" s="7">
        <f t="shared" si="66"/>
        <v>129.800416</v>
      </c>
      <c r="H192" s="7">
        <f t="shared" si="66"/>
        <v>216.64153600000003</v>
      </c>
      <c r="I192" s="7">
        <f t="shared" si="66"/>
        <v>215.057984</v>
      </c>
      <c r="J192" s="7">
        <f t="shared" si="66"/>
        <v>185.23200000000003</v>
      </c>
      <c r="K192" s="7">
        <f t="shared" si="66"/>
        <v>246.97600000000006</v>
      </c>
      <c r="L192" s="7">
        <f t="shared" si="66"/>
        <v>271.6736</v>
      </c>
      <c r="M192" s="1" t="s">
        <v>82</v>
      </c>
    </row>
    <row r="193" spans="2:13" ht="15">
      <c r="B193" s="1" t="s">
        <v>69</v>
      </c>
      <c r="C193" s="7">
        <f>C189*0.454*0.16*1000</f>
        <v>338.1137760000001</v>
      </c>
      <c r="D193" s="7">
        <f aca="true" t="shared" si="67" ref="D193:L193">D189*0.454*0.16*1000</f>
        <v>343.3155264</v>
      </c>
      <c r="E193" s="7">
        <f t="shared" si="67"/>
        <v>152.22438400000001</v>
      </c>
      <c r="F193" s="7">
        <f t="shared" si="67"/>
        <v>91.87507199999999</v>
      </c>
      <c r="G193" s="7">
        <f t="shared" si="67"/>
        <v>127.85947520000002</v>
      </c>
      <c r="H193" s="7">
        <f t="shared" si="67"/>
        <v>238.72881760000007</v>
      </c>
      <c r="I193" s="7">
        <f t="shared" si="67"/>
        <v>235.99283200000002</v>
      </c>
      <c r="J193" s="7">
        <f t="shared" si="67"/>
        <v>126.666</v>
      </c>
      <c r="K193" s="7">
        <f t="shared" si="67"/>
        <v>180.1472</v>
      </c>
      <c r="L193" s="7">
        <f t="shared" si="67"/>
        <v>198.16192</v>
      </c>
      <c r="M193" s="1" t="s">
        <v>82</v>
      </c>
    </row>
    <row r="194" spans="2:13" ht="15">
      <c r="B194" s="1" t="s">
        <v>70</v>
      </c>
      <c r="C194" s="7">
        <f>C190*0.454*0.16*1000</f>
        <v>308.367696</v>
      </c>
      <c r="D194" s="7">
        <f aca="true" t="shared" si="68" ref="D194:L194">D190*0.454*0.16*1000</f>
        <v>-106.16045439999999</v>
      </c>
      <c r="E194" s="7">
        <f t="shared" si="68"/>
        <v>151.846656</v>
      </c>
      <c r="F194" s="7">
        <f t="shared" si="68"/>
        <v>18.828288000000008</v>
      </c>
      <c r="G194" s="7">
        <f t="shared" si="68"/>
        <v>1.9409407999999897</v>
      </c>
      <c r="H194" s="7">
        <f t="shared" si="68"/>
        <v>-22.087281600000036</v>
      </c>
      <c r="I194" s="7">
        <f t="shared" si="68"/>
        <v>-20.93484800000002</v>
      </c>
      <c r="J194" s="7">
        <f t="shared" si="68"/>
        <v>58.56600000000003</v>
      </c>
      <c r="K194" s="7">
        <f t="shared" si="68"/>
        <v>66.82880000000002</v>
      </c>
      <c r="L194" s="7">
        <f t="shared" si="68"/>
        <v>73.51168000000001</v>
      </c>
      <c r="M194" s="1" t="s">
        <v>82</v>
      </c>
    </row>
    <row r="196" spans="2:13" ht="15">
      <c r="B196" s="1" t="s">
        <v>174</v>
      </c>
      <c r="C196" s="7">
        <f aca="true" t="shared" si="69" ref="C196:L196">C185*454*C29*0.16+C186*454*C191*0.16</f>
        <v>338.1137760000001</v>
      </c>
      <c r="D196" s="7">
        <f t="shared" si="69"/>
        <v>343.3155264</v>
      </c>
      <c r="E196" s="7">
        <f t="shared" si="69"/>
        <v>152.224384</v>
      </c>
      <c r="F196" s="7">
        <f t="shared" si="69"/>
        <v>91.875072</v>
      </c>
      <c r="G196" s="7">
        <f t="shared" si="69"/>
        <v>127.8594752</v>
      </c>
      <c r="H196" s="7">
        <f t="shared" si="69"/>
        <v>238.72881760000004</v>
      </c>
      <c r="I196" s="7">
        <f t="shared" si="69"/>
        <v>235.99283200000002</v>
      </c>
      <c r="J196" s="7">
        <f t="shared" si="69"/>
        <v>126.66600000000001</v>
      </c>
      <c r="K196" s="7">
        <f t="shared" si="69"/>
        <v>180.14720000000003</v>
      </c>
      <c r="L196" s="7">
        <f t="shared" si="69"/>
        <v>198.16192000000004</v>
      </c>
      <c r="M196" s="1" t="s">
        <v>47</v>
      </c>
    </row>
    <row r="197" spans="2:13" ht="15">
      <c r="B197" s="1" t="s">
        <v>173</v>
      </c>
      <c r="C197" s="7">
        <f>C192-C196</f>
        <v>308.3676960000001</v>
      </c>
      <c r="D197" s="7">
        <f aca="true" t="shared" si="70" ref="D197:L197">D192-D196</f>
        <v>-106.16045439999999</v>
      </c>
      <c r="E197" s="7">
        <f t="shared" si="70"/>
        <v>151.84665600000005</v>
      </c>
      <c r="F197" s="7">
        <f t="shared" si="70"/>
        <v>18.828288000000015</v>
      </c>
      <c r="G197" s="7">
        <f t="shared" si="70"/>
        <v>1.940940800000007</v>
      </c>
      <c r="H197" s="7">
        <f t="shared" si="70"/>
        <v>-22.08728160000001</v>
      </c>
      <c r="I197" s="7">
        <f t="shared" si="70"/>
        <v>-20.934848000000017</v>
      </c>
      <c r="J197" s="7">
        <f t="shared" si="70"/>
        <v>58.56600000000002</v>
      </c>
      <c r="K197" s="7">
        <f t="shared" si="70"/>
        <v>66.82880000000003</v>
      </c>
      <c r="L197" s="7">
        <f t="shared" si="70"/>
        <v>73.51167999999998</v>
      </c>
      <c r="M197" s="1" t="s">
        <v>47</v>
      </c>
    </row>
  </sheetData>
  <sheetProtection sheet="1" objects="1" scenarios="1" selectLockedCells="1"/>
  <mergeCells count="1">
    <mergeCell ref="C78:F78"/>
  </mergeCells>
  <printOptions/>
  <pageMargins left="0.5" right="0.5" top="1" bottom="0.5" header="0.5" footer="0.5"/>
  <pageSetup fitToHeight="1" fitToWidth="1" horizontalDpi="600" verticalDpi="600" orientation="landscape" scale="89" r:id="rId2"/>
  <headerFooter alignWithMargins="0">
    <oddHeader>&amp;C&amp;D Herd Analysis Results</oddHeader>
  </headerFooter>
  <colBreaks count="1" manualBreakCount="1">
    <brk id="5" min="58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41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23.7109375" style="1" customWidth="1"/>
    <col min="2" max="2" width="13.8515625" style="1" customWidth="1"/>
    <col min="3" max="3" width="10.421875" style="1" customWidth="1"/>
    <col min="4" max="16384" width="9.140625" style="1" customWidth="1"/>
  </cols>
  <sheetData>
    <row r="1" ht="15"/>
    <row r="2" spans="2:5" ht="15">
      <c r="B2" s="28"/>
      <c r="C2" s="28"/>
      <c r="D2" s="28"/>
      <c r="E2" s="28"/>
    </row>
    <row r="3" spans="1:5" ht="15">
      <c r="A3" s="28" t="s">
        <v>83</v>
      </c>
      <c r="B3" s="47">
        <v>1</v>
      </c>
      <c r="C3" s="48" t="s">
        <v>93</v>
      </c>
      <c r="D3" s="48"/>
      <c r="E3" s="48"/>
    </row>
    <row r="4" spans="1:5" ht="15">
      <c r="A4" s="28" t="s">
        <v>84</v>
      </c>
      <c r="B4" s="47">
        <v>1</v>
      </c>
      <c r="C4" s="48" t="s">
        <v>85</v>
      </c>
      <c r="D4" s="48"/>
      <c r="E4" s="48"/>
    </row>
    <row r="5" spans="1:5" ht="15">
      <c r="A5" s="28"/>
      <c r="B5" s="48"/>
      <c r="C5" s="48"/>
      <c r="D5" s="48"/>
      <c r="E5" s="48"/>
    </row>
    <row r="6" spans="1:5" ht="15">
      <c r="A6" s="28" t="s">
        <v>86</v>
      </c>
      <c r="B6" s="49">
        <v>0.28</v>
      </c>
      <c r="C6" s="48" t="s">
        <v>91</v>
      </c>
      <c r="D6" s="48"/>
      <c r="E6" s="48"/>
    </row>
    <row r="7" spans="1:5" ht="15">
      <c r="A7" s="28" t="s">
        <v>87</v>
      </c>
      <c r="B7" s="49">
        <v>0.071</v>
      </c>
      <c r="C7" s="48"/>
      <c r="D7" s="48"/>
      <c r="E7" s="48"/>
    </row>
    <row r="8" spans="1:5" ht="15">
      <c r="A8" s="28" t="s">
        <v>88</v>
      </c>
      <c r="B8" s="49">
        <v>0.62</v>
      </c>
      <c r="C8" s="48" t="s">
        <v>90</v>
      </c>
      <c r="D8" s="48"/>
      <c r="E8" s="48"/>
    </row>
    <row r="9" spans="1:5" ht="15">
      <c r="A9" s="28" t="s">
        <v>89</v>
      </c>
      <c r="B9" s="49">
        <v>0.183</v>
      </c>
      <c r="C9" s="48" t="s">
        <v>90</v>
      </c>
      <c r="D9" s="48"/>
      <c r="E9" s="48"/>
    </row>
    <row r="10" spans="1:5" ht="15">
      <c r="A10" s="28" t="s">
        <v>92</v>
      </c>
      <c r="B10" s="49">
        <v>0.52</v>
      </c>
      <c r="C10" s="48" t="s">
        <v>91</v>
      </c>
      <c r="D10" s="48"/>
      <c r="E10" s="48"/>
    </row>
    <row r="11" spans="1:5" ht="15">
      <c r="A11" s="28" t="s">
        <v>104</v>
      </c>
      <c r="B11" s="48"/>
      <c r="C11" s="48"/>
      <c r="D11" s="48"/>
      <c r="E11" s="48"/>
    </row>
    <row r="12" spans="1:7" ht="15">
      <c r="A12" s="28"/>
      <c r="B12" s="50" t="s">
        <v>105</v>
      </c>
      <c r="C12" s="50" t="s">
        <v>106</v>
      </c>
      <c r="E12" s="51" t="s">
        <v>250</v>
      </c>
      <c r="G12" s="32" t="s">
        <v>110</v>
      </c>
    </row>
    <row r="13" spans="1:7" ht="15">
      <c r="A13" s="28" t="s">
        <v>86</v>
      </c>
      <c r="B13" s="48">
        <f>HLOOKUP($B$3,IF($B$4=1,silages_min,IF($B$4=2,hays_min,pastures_min)),2)</f>
        <v>30</v>
      </c>
      <c r="C13" s="48">
        <f>HLOOKUP($B$3,IF($B$4=1,silages_max,IF($B$4=2,hays_max,pastures_max)),2)</f>
        <v>40</v>
      </c>
      <c r="D13" s="48" t="s">
        <v>108</v>
      </c>
      <c r="E13" s="28" t="str">
        <f>IF(AND(B6*100&gt;=B13,B6*100&lt;=C13),"Yes",IF(B6*100&lt;B13,"Too Wet","Too Dry"))</f>
        <v>Too Wet</v>
      </c>
      <c r="G13" s="28" t="str">
        <f>IF(E13="Too wet",IF($B$4=1,C125,IF($B$4=2,C126,C127)),IF(E13="Yes","Expect normal performace",IF($B$4=1,D125,IF($B$4=2,D126,D127))))</f>
        <v>Poor fermentation (clostridia, high butyric), could depress intake.</v>
      </c>
    </row>
    <row r="14" spans="1:7" ht="15">
      <c r="A14" s="28" t="s">
        <v>87</v>
      </c>
      <c r="B14" s="48">
        <f>HLOOKUP($B$3,IF($B$4=1,silages_min,IF($B$4=2,hays_min,pastures_min)),3)</f>
        <v>6</v>
      </c>
      <c r="C14" s="48">
        <f>HLOOKUP($B$3,IF($B$4=1,silages_max,IF($B$4=2,hays_max,pastures_max)),3)</f>
        <v>8</v>
      </c>
      <c r="D14" s="48" t="s">
        <v>109</v>
      </c>
      <c r="E14" s="28" t="str">
        <f>IF(AND(B7*100&gt;=B14,B7*100&lt;=C14),"Yes",IF(B7*100&lt;B14,"Low in Protein","High in Protein"))</f>
        <v>Yes</v>
      </c>
      <c r="G14" s="28" t="str">
        <f>IF(E14="Low in Protein",IF($B$4=1,IF(OR($B$3=1,$B$3=2),C131,C132),IF($B$4=2,C133,C134)),IF(E14="Yes","Expect normal performace",IF($B$4=1,IF(OR($B$3=1,$B$3=2),D131,D132),IF($B$4=2,D133,D134))))</f>
        <v>Expect normal performace</v>
      </c>
    </row>
    <row r="15" spans="1:7" ht="15">
      <c r="A15" s="28" t="s">
        <v>88</v>
      </c>
      <c r="B15" s="48">
        <f>HLOOKUP($B$3,IF($B$4=1,silages_min,IF($B$4=2,hays_min,pastures_min)),4)</f>
        <v>40</v>
      </c>
      <c r="C15" s="48">
        <f>HLOOKUP($B$3,IF($B$4=1,silages_max,IF($B$4=2,hays_max,pastures_max)),4)</f>
        <v>55</v>
      </c>
      <c r="D15" s="48" t="s">
        <v>251</v>
      </c>
      <c r="E15" s="28" t="str">
        <f>IF(AND(B8*100&gt;=B15,B8*100&lt;=C15),"Yes",IF(B8*100&lt;B15,"Low Solubility","High Solubility"))</f>
        <v>High Solubility</v>
      </c>
      <c r="G15" s="28" t="str">
        <f>IF(E15="Low Protein Solubility",IF($B$4=1,G125,IF($B$4=2,G126,G127)),IF(E15="Yes","Expect normal performace",IF($B$4=1,H125,IF($B$4=2,H126,H127))))</f>
        <v>Additional true protein must be fed to meet requirements; increases N excretion. Review harvest management.</v>
      </c>
    </row>
    <row r="16" spans="1:7" ht="15">
      <c r="A16" s="28" t="s">
        <v>89</v>
      </c>
      <c r="B16" s="48">
        <f>HLOOKUP($B$3,IF($B$4=1,silages_min,IF($B$4=2,hays_min,pastures_min)),5)</f>
        <v>0</v>
      </c>
      <c r="C16" s="48">
        <f>HLOOKUP($B$3,IF($B$4=1,silages_max,IF($B$4=2,hays_max,pastures_max)),5)</f>
        <v>15</v>
      </c>
      <c r="D16" s="48" t="s">
        <v>252</v>
      </c>
      <c r="E16" s="28" t="str">
        <f>IF(AND(B9*100&gt;=B16,B9*100&lt;=C16),"Yes",IF(B9*100&lt;B16,"Stored Well","Heat damaged protein"))</f>
        <v>Heat damaged protein</v>
      </c>
      <c r="G16" s="28" t="str">
        <f>IF(E16="Stored Well",IF($B$4=1,G131,IF($B$4=2,G132,G133)),IF(E16="Yes","Expect normal performace",IF($B$4=1,H131,IF($B$4=2,H132,H133))))</f>
        <v>Poor fermentation resulting in bound protein</v>
      </c>
    </row>
    <row r="17" spans="1:7" ht="15">
      <c r="A17" s="28" t="s">
        <v>92</v>
      </c>
      <c r="B17" s="48">
        <f>HLOOKUP($B$3,IF($B$4=1,silages_min,IF($B$4=2,hays_min,pastures_min)),6)</f>
        <v>35</v>
      </c>
      <c r="C17" s="48">
        <f>HLOOKUP($B$3,IF($B$4=1,silages_max,IF($B$4=2,hays_max,pastures_max)),6)</f>
        <v>45</v>
      </c>
      <c r="D17" s="48" t="s">
        <v>109</v>
      </c>
      <c r="E17" s="28" t="str">
        <f>IF(AND(B10*100&gt;=B17,B10*100&lt;=C17),"Yes",IF(B10*100&lt;B17,"Immature","Overmature"))</f>
        <v>Overmature</v>
      </c>
      <c r="G17" s="28" t="str">
        <f>IF(E17="Immature",IF($B$4=1,IF(OR($B$3=1,$B$3=2),C138,C139),IF($B$4=2,C140,C141)),IF(E17="Yes","Expect normal performace",IF($B$4=1,IF(OR($B$3=1,$B$3=2),D138,D139),IF($B$4=2,D140,D141))))</f>
        <v>Low starch feed. Will need to increase NFC sources in diet to utilize well.</v>
      </c>
    </row>
    <row r="18" spans="2:5" ht="15">
      <c r="B18" s="48"/>
      <c r="C18" s="48"/>
      <c r="D18" s="48"/>
      <c r="E18" s="48"/>
    </row>
    <row r="19" spans="2:5" ht="15">
      <c r="B19" s="48"/>
      <c r="C19" s="48"/>
      <c r="D19" s="48"/>
      <c r="E19" s="48"/>
    </row>
    <row r="20" spans="2:5" ht="15">
      <c r="B20" s="48"/>
      <c r="C20" s="48"/>
      <c r="D20" s="48"/>
      <c r="E20" s="48"/>
    </row>
    <row r="99" spans="3:9" ht="15">
      <c r="C99" s="1" t="s">
        <v>107</v>
      </c>
      <c r="I99" s="1" t="s">
        <v>101</v>
      </c>
    </row>
    <row r="100" spans="2:3" ht="15">
      <c r="B100" s="1" t="s">
        <v>99</v>
      </c>
      <c r="C100" s="1" t="s">
        <v>83</v>
      </c>
    </row>
    <row r="101" spans="2:14" ht="15">
      <c r="B101" s="1" t="s">
        <v>94</v>
      </c>
      <c r="C101" s="4">
        <v>1</v>
      </c>
      <c r="D101" s="4">
        <v>2</v>
      </c>
      <c r="E101" s="4">
        <v>3</v>
      </c>
      <c r="F101" s="4">
        <v>4</v>
      </c>
      <c r="G101" s="4">
        <v>5</v>
      </c>
      <c r="H101" s="4">
        <v>6</v>
      </c>
      <c r="I101" s="4">
        <v>1</v>
      </c>
      <c r="J101" s="4">
        <v>2</v>
      </c>
      <c r="K101" s="4">
        <v>3</v>
      </c>
      <c r="L101" s="4">
        <v>4</v>
      </c>
      <c r="M101" s="4">
        <v>5</v>
      </c>
      <c r="N101" s="4">
        <v>6</v>
      </c>
    </row>
    <row r="102" spans="2:14" ht="15">
      <c r="B102" s="1" t="s">
        <v>95</v>
      </c>
      <c r="C102" s="1">
        <v>30</v>
      </c>
      <c r="D102" s="1">
        <v>30</v>
      </c>
      <c r="E102" s="1">
        <v>35</v>
      </c>
      <c r="F102" s="1">
        <v>30</v>
      </c>
      <c r="G102" s="1">
        <v>35</v>
      </c>
      <c r="H102" s="1">
        <v>30</v>
      </c>
      <c r="I102" s="1">
        <v>40</v>
      </c>
      <c r="J102" s="1">
        <v>40</v>
      </c>
      <c r="K102" s="1">
        <v>45</v>
      </c>
      <c r="L102" s="1">
        <v>35</v>
      </c>
      <c r="M102" s="1">
        <v>45</v>
      </c>
      <c r="N102" s="1">
        <v>45</v>
      </c>
    </row>
    <row r="103" spans="2:14" ht="15">
      <c r="B103" s="1" t="s">
        <v>96</v>
      </c>
      <c r="C103" s="1">
        <v>6</v>
      </c>
      <c r="D103" s="1">
        <v>6</v>
      </c>
      <c r="E103" s="1">
        <v>20</v>
      </c>
      <c r="F103" s="1">
        <v>16</v>
      </c>
      <c r="G103" s="1">
        <v>16</v>
      </c>
      <c r="H103" s="1">
        <v>16</v>
      </c>
      <c r="I103" s="1">
        <v>8</v>
      </c>
      <c r="J103" s="1">
        <v>15</v>
      </c>
      <c r="K103" s="1">
        <v>25</v>
      </c>
      <c r="L103" s="1">
        <v>22</v>
      </c>
      <c r="M103" s="1">
        <v>22</v>
      </c>
      <c r="N103" s="1">
        <v>22</v>
      </c>
    </row>
    <row r="104" spans="2:14" ht="15">
      <c r="B104" s="1" t="s">
        <v>97</v>
      </c>
      <c r="C104" s="1">
        <v>40</v>
      </c>
      <c r="D104" s="1">
        <v>40</v>
      </c>
      <c r="E104" s="1">
        <v>40</v>
      </c>
      <c r="F104" s="1">
        <v>40</v>
      </c>
      <c r="G104" s="1">
        <v>40</v>
      </c>
      <c r="H104" s="1">
        <v>40</v>
      </c>
      <c r="I104" s="1">
        <v>55</v>
      </c>
      <c r="J104" s="1">
        <v>55</v>
      </c>
      <c r="K104" s="1">
        <v>55</v>
      </c>
      <c r="L104" s="1">
        <v>55</v>
      </c>
      <c r="M104" s="1">
        <v>55</v>
      </c>
      <c r="N104" s="1">
        <v>55</v>
      </c>
    </row>
    <row r="105" spans="2:14" ht="15">
      <c r="B105" s="1" t="s">
        <v>98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15</v>
      </c>
      <c r="J105" s="1">
        <v>15</v>
      </c>
      <c r="K105" s="1">
        <v>15</v>
      </c>
      <c r="L105" s="1">
        <v>15</v>
      </c>
      <c r="M105" s="1">
        <v>15</v>
      </c>
      <c r="N105" s="1">
        <v>15</v>
      </c>
    </row>
    <row r="106" spans="2:14" ht="15">
      <c r="B106" s="1" t="s">
        <v>92</v>
      </c>
      <c r="C106" s="1">
        <v>35</v>
      </c>
      <c r="D106" s="1">
        <v>35</v>
      </c>
      <c r="E106" s="1">
        <v>35</v>
      </c>
      <c r="F106" s="1">
        <v>50</v>
      </c>
      <c r="G106" s="1">
        <v>35</v>
      </c>
      <c r="H106" s="1">
        <v>40</v>
      </c>
      <c r="I106" s="1">
        <v>45</v>
      </c>
      <c r="J106" s="1">
        <v>45</v>
      </c>
      <c r="K106" s="1">
        <v>40</v>
      </c>
      <c r="L106" s="1">
        <v>55</v>
      </c>
      <c r="M106" s="1">
        <v>42</v>
      </c>
      <c r="N106" s="1">
        <v>45</v>
      </c>
    </row>
    <row r="108" spans="2:7" ht="15">
      <c r="B108" s="1" t="s">
        <v>102</v>
      </c>
      <c r="C108" s="1" t="s">
        <v>107</v>
      </c>
      <c r="G108" s="1" t="s">
        <v>101</v>
      </c>
    </row>
    <row r="109" spans="3:10" ht="15">
      <c r="C109" s="1">
        <v>3</v>
      </c>
      <c r="D109" s="1">
        <v>4</v>
      </c>
      <c r="E109" s="1">
        <v>5</v>
      </c>
      <c r="F109" s="1">
        <v>6</v>
      </c>
      <c r="G109" s="1">
        <v>3</v>
      </c>
      <c r="H109" s="1">
        <v>4</v>
      </c>
      <c r="I109" s="1">
        <v>5</v>
      </c>
      <c r="J109" s="1">
        <v>6</v>
      </c>
    </row>
    <row r="110" spans="2:10" ht="15">
      <c r="B110" s="1" t="s">
        <v>95</v>
      </c>
      <c r="C110" s="1">
        <v>85</v>
      </c>
      <c r="D110" s="1">
        <v>85</v>
      </c>
      <c r="E110" s="1">
        <v>85</v>
      </c>
      <c r="F110" s="1">
        <v>85</v>
      </c>
      <c r="G110" s="1">
        <v>95</v>
      </c>
      <c r="H110" s="1">
        <v>95</v>
      </c>
      <c r="I110" s="1">
        <v>95</v>
      </c>
      <c r="J110" s="1">
        <v>95</v>
      </c>
    </row>
    <row r="111" spans="2:10" ht="15">
      <c r="B111" s="1" t="s">
        <v>97</v>
      </c>
      <c r="C111" s="1">
        <v>20</v>
      </c>
      <c r="D111" s="1">
        <v>20</v>
      </c>
      <c r="E111" s="1">
        <v>20</v>
      </c>
      <c r="F111" s="1">
        <v>20</v>
      </c>
      <c r="G111" s="1">
        <v>40</v>
      </c>
      <c r="H111" s="1">
        <v>40</v>
      </c>
      <c r="I111" s="1">
        <v>40</v>
      </c>
      <c r="J111" s="1">
        <v>40</v>
      </c>
    </row>
    <row r="112" spans="2:10" ht="15">
      <c r="B112" s="1" t="s">
        <v>98</v>
      </c>
      <c r="C112" s="1">
        <v>0</v>
      </c>
      <c r="D112" s="1">
        <v>0</v>
      </c>
      <c r="E112" s="1">
        <v>0</v>
      </c>
      <c r="F112" s="1">
        <v>0</v>
      </c>
      <c r="G112" s="1">
        <v>15</v>
      </c>
      <c r="H112" s="1">
        <v>15</v>
      </c>
      <c r="I112" s="1">
        <v>15</v>
      </c>
      <c r="J112" s="1">
        <v>15</v>
      </c>
    </row>
    <row r="114" spans="2:7" ht="15">
      <c r="B114" s="1" t="s">
        <v>103</v>
      </c>
      <c r="C114" s="1" t="s">
        <v>100</v>
      </c>
      <c r="G114" s="1" t="s">
        <v>101</v>
      </c>
    </row>
    <row r="115" spans="3:10" ht="15">
      <c r="C115" s="1">
        <v>3</v>
      </c>
      <c r="D115" s="1">
        <v>4</v>
      </c>
      <c r="E115" s="1">
        <v>5</v>
      </c>
      <c r="F115" s="1">
        <v>6</v>
      </c>
      <c r="G115" s="1">
        <v>3</v>
      </c>
      <c r="H115" s="1">
        <v>4</v>
      </c>
      <c r="I115" s="1">
        <v>5</v>
      </c>
      <c r="J115" s="1">
        <v>6</v>
      </c>
    </row>
    <row r="116" spans="2:10" ht="15">
      <c r="B116" s="1" t="s">
        <v>95</v>
      </c>
      <c r="C116" s="1">
        <v>15</v>
      </c>
      <c r="D116" s="1">
        <v>15</v>
      </c>
      <c r="E116" s="1">
        <v>15</v>
      </c>
      <c r="F116" s="1">
        <v>15</v>
      </c>
      <c r="G116" s="1">
        <v>25</v>
      </c>
      <c r="H116" s="1">
        <v>25</v>
      </c>
      <c r="I116" s="1">
        <v>25</v>
      </c>
      <c r="J116" s="1">
        <v>25</v>
      </c>
    </row>
    <row r="117" spans="2:10" ht="15">
      <c r="B117" s="1" t="s">
        <v>96</v>
      </c>
      <c r="C117" s="1">
        <v>22</v>
      </c>
      <c r="D117" s="1">
        <v>22</v>
      </c>
      <c r="E117" s="1">
        <v>22</v>
      </c>
      <c r="F117" s="1">
        <v>22</v>
      </c>
      <c r="G117" s="1">
        <v>35</v>
      </c>
      <c r="H117" s="1">
        <v>35</v>
      </c>
      <c r="I117" s="1">
        <v>35</v>
      </c>
      <c r="J117" s="1">
        <v>35</v>
      </c>
    </row>
    <row r="118" spans="2:10" ht="15">
      <c r="B118" s="1" t="s">
        <v>97</v>
      </c>
      <c r="C118" s="1">
        <v>15</v>
      </c>
      <c r="D118" s="1">
        <v>15</v>
      </c>
      <c r="E118" s="1">
        <v>15</v>
      </c>
      <c r="F118" s="1">
        <v>15</v>
      </c>
      <c r="G118" s="1">
        <v>35</v>
      </c>
      <c r="H118" s="1">
        <v>35</v>
      </c>
      <c r="I118" s="1">
        <v>35</v>
      </c>
      <c r="J118" s="1">
        <v>35</v>
      </c>
    </row>
    <row r="122" spans="2:11" ht="15">
      <c r="B122" s="28" t="s">
        <v>111</v>
      </c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2:11" ht="15">
      <c r="B123" s="28"/>
      <c r="C123" s="28" t="s">
        <v>112</v>
      </c>
      <c r="D123" s="28"/>
      <c r="E123" s="28"/>
      <c r="F123" s="28"/>
      <c r="G123" s="28" t="s">
        <v>118</v>
      </c>
      <c r="H123" s="28"/>
      <c r="I123" s="28"/>
      <c r="J123" s="28"/>
      <c r="K123" s="28"/>
    </row>
    <row r="124" spans="2:11" ht="15">
      <c r="B124" s="28"/>
      <c r="C124" s="28" t="s">
        <v>113</v>
      </c>
      <c r="D124" s="28" t="s">
        <v>114</v>
      </c>
      <c r="E124" s="28"/>
      <c r="F124" s="28"/>
      <c r="G124" s="28" t="s">
        <v>116</v>
      </c>
      <c r="H124" s="28" t="s">
        <v>119</v>
      </c>
      <c r="I124" s="28"/>
      <c r="J124" s="28"/>
      <c r="K124" s="28"/>
    </row>
    <row r="125" spans="2:11" ht="15">
      <c r="B125" s="28" t="s">
        <v>99</v>
      </c>
      <c r="C125" s="28" t="s">
        <v>125</v>
      </c>
      <c r="D125" s="28" t="s">
        <v>124</v>
      </c>
      <c r="E125" s="28"/>
      <c r="F125" s="28" t="s">
        <v>99</v>
      </c>
      <c r="G125" s="28" t="s">
        <v>131</v>
      </c>
      <c r="H125" s="28" t="s">
        <v>253</v>
      </c>
      <c r="I125" s="28"/>
      <c r="J125" s="28"/>
      <c r="K125" s="28"/>
    </row>
    <row r="126" spans="2:11" ht="15">
      <c r="B126" s="28" t="s">
        <v>102</v>
      </c>
      <c r="C126" s="28" t="s">
        <v>123</v>
      </c>
      <c r="D126" s="28" t="s">
        <v>121</v>
      </c>
      <c r="E126" s="28"/>
      <c r="F126" s="28" t="s">
        <v>102</v>
      </c>
      <c r="G126" s="28" t="s">
        <v>131</v>
      </c>
      <c r="H126" s="28" t="s">
        <v>254</v>
      </c>
      <c r="I126" s="28"/>
      <c r="J126" s="28"/>
      <c r="K126" s="28"/>
    </row>
    <row r="127" spans="2:11" ht="15">
      <c r="B127" s="28" t="s">
        <v>103</v>
      </c>
      <c r="C127" s="28" t="s">
        <v>122</v>
      </c>
      <c r="D127" s="28" t="s">
        <v>122</v>
      </c>
      <c r="E127" s="28"/>
      <c r="F127" s="28" t="s">
        <v>103</v>
      </c>
      <c r="G127" s="28" t="s">
        <v>131</v>
      </c>
      <c r="H127" s="28" t="s">
        <v>134</v>
      </c>
      <c r="I127" s="28"/>
      <c r="J127" s="28"/>
      <c r="K127" s="28"/>
    </row>
    <row r="128" spans="2:1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2:11" ht="15">
      <c r="B129" s="28"/>
      <c r="C129" s="28" t="s">
        <v>115</v>
      </c>
      <c r="D129" s="28"/>
      <c r="E129" s="28"/>
      <c r="F129" s="28"/>
      <c r="G129" s="28" t="s">
        <v>98</v>
      </c>
      <c r="H129" s="28"/>
      <c r="I129" s="28"/>
      <c r="J129" s="28"/>
      <c r="K129" s="28"/>
    </row>
    <row r="130" spans="2:11" ht="15">
      <c r="B130" s="28"/>
      <c r="C130" s="28" t="s">
        <v>116</v>
      </c>
      <c r="D130" s="28" t="s">
        <v>117</v>
      </c>
      <c r="E130" s="28"/>
      <c r="F130" s="28"/>
      <c r="G130" s="28" t="s">
        <v>120</v>
      </c>
      <c r="H130" s="28" t="s">
        <v>119</v>
      </c>
      <c r="I130" s="28"/>
      <c r="J130" s="28"/>
      <c r="K130" s="28"/>
    </row>
    <row r="131" spans="2:11" ht="15">
      <c r="B131" s="28" t="s">
        <v>135</v>
      </c>
      <c r="C131" s="28" t="s">
        <v>141</v>
      </c>
      <c r="D131" s="28" t="s">
        <v>141</v>
      </c>
      <c r="E131" s="28"/>
      <c r="F131" s="28" t="s">
        <v>99</v>
      </c>
      <c r="G131" s="28" t="s">
        <v>131</v>
      </c>
      <c r="H131" s="28" t="s">
        <v>132</v>
      </c>
      <c r="I131" s="28"/>
      <c r="J131" s="28"/>
      <c r="K131" s="28"/>
    </row>
    <row r="132" spans="2:11" ht="15">
      <c r="B132" s="28" t="s">
        <v>136</v>
      </c>
      <c r="C132" s="28" t="s">
        <v>142</v>
      </c>
      <c r="D132" s="28" t="s">
        <v>259</v>
      </c>
      <c r="E132" s="28"/>
      <c r="F132" s="28" t="s">
        <v>102</v>
      </c>
      <c r="G132" s="28" t="s">
        <v>131</v>
      </c>
      <c r="H132" s="28" t="s">
        <v>258</v>
      </c>
      <c r="I132" s="28"/>
      <c r="J132" s="28"/>
      <c r="K132" s="28"/>
    </row>
    <row r="133" spans="2:11" ht="15">
      <c r="B133" s="28" t="s">
        <v>102</v>
      </c>
      <c r="C133" s="28" t="s">
        <v>142</v>
      </c>
      <c r="D133" s="28" t="s">
        <v>143</v>
      </c>
      <c r="E133" s="28"/>
      <c r="F133" s="28" t="s">
        <v>103</v>
      </c>
      <c r="G133" s="28" t="s">
        <v>131</v>
      </c>
      <c r="H133" s="28" t="s">
        <v>133</v>
      </c>
      <c r="I133" s="28"/>
      <c r="J133" s="28"/>
      <c r="K133" s="28"/>
    </row>
    <row r="134" spans="2:11" ht="15">
      <c r="B134" s="28" t="s">
        <v>103</v>
      </c>
      <c r="C134" s="28" t="s">
        <v>144</v>
      </c>
      <c r="D134" s="28" t="s">
        <v>255</v>
      </c>
      <c r="E134" s="28"/>
      <c r="F134" s="28"/>
      <c r="G134" s="28"/>
      <c r="H134" s="28"/>
      <c r="I134" s="28"/>
      <c r="J134" s="28"/>
      <c r="K134" s="28"/>
    </row>
    <row r="135" spans="2:1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2:11" ht="15">
      <c r="B136" s="28"/>
      <c r="C136" s="28" t="s">
        <v>92</v>
      </c>
      <c r="D136" s="28"/>
      <c r="E136" s="28"/>
      <c r="F136" s="28"/>
      <c r="G136" s="28"/>
      <c r="H136" s="28"/>
      <c r="I136" s="28"/>
      <c r="J136" s="28"/>
      <c r="K136" s="28"/>
    </row>
    <row r="137" spans="2:11" ht="15">
      <c r="B137" s="28"/>
      <c r="C137" s="28" t="s">
        <v>116</v>
      </c>
      <c r="D137" s="28" t="s">
        <v>117</v>
      </c>
      <c r="E137" s="28"/>
      <c r="F137" s="28"/>
      <c r="G137" s="28"/>
      <c r="H137" s="28"/>
      <c r="I137" s="28"/>
      <c r="J137" s="28"/>
      <c r="K137" s="28"/>
    </row>
    <row r="138" spans="2:11" ht="15">
      <c r="B138" s="28" t="s">
        <v>135</v>
      </c>
      <c r="C138" s="28" t="s">
        <v>137</v>
      </c>
      <c r="D138" s="28" t="s">
        <v>138</v>
      </c>
      <c r="E138" s="28"/>
      <c r="F138" s="28"/>
      <c r="G138" s="28"/>
      <c r="H138" s="28"/>
      <c r="I138" s="28"/>
      <c r="J138" s="28"/>
      <c r="K138" s="28"/>
    </row>
    <row r="139" spans="2:11" ht="15">
      <c r="B139" s="28" t="s">
        <v>136</v>
      </c>
      <c r="C139" s="28" t="s">
        <v>256</v>
      </c>
      <c r="D139" s="28" t="s">
        <v>139</v>
      </c>
      <c r="E139" s="28"/>
      <c r="F139" s="28"/>
      <c r="G139" s="28"/>
      <c r="H139" s="28"/>
      <c r="I139" s="28"/>
      <c r="J139" s="28"/>
      <c r="K139" s="28"/>
    </row>
    <row r="140" spans="2:11" ht="15">
      <c r="B140" s="28" t="s">
        <v>102</v>
      </c>
      <c r="C140" s="28" t="s">
        <v>256</v>
      </c>
      <c r="D140" s="28" t="s">
        <v>139</v>
      </c>
      <c r="E140" s="28"/>
      <c r="F140" s="28"/>
      <c r="G140" s="28"/>
      <c r="H140" s="28"/>
      <c r="I140" s="28"/>
      <c r="J140" s="28"/>
      <c r="K140" s="28"/>
    </row>
    <row r="141" spans="2:11" ht="15">
      <c r="B141" s="28" t="s">
        <v>103</v>
      </c>
      <c r="C141" s="28" t="s">
        <v>257</v>
      </c>
      <c r="D141" s="28" t="s">
        <v>140</v>
      </c>
      <c r="E141" s="28"/>
      <c r="F141" s="28"/>
      <c r="G141" s="28"/>
      <c r="H141" s="28"/>
      <c r="I141" s="28"/>
      <c r="J141" s="28"/>
      <c r="K141" s="28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C11"/>
  <sheetViews>
    <sheetView showGridLines="0" workbookViewId="0" topLeftCell="A1">
      <selection activeCell="A1" sqref="A1"/>
    </sheetView>
  </sheetViews>
  <sheetFormatPr defaultColWidth="9.140625" defaultRowHeight="12.75"/>
  <sheetData>
    <row r="4" spans="2:3" ht="15">
      <c r="B4" s="1" t="s">
        <v>126</v>
      </c>
      <c r="C4" s="1"/>
    </row>
    <row r="5" spans="2:3" ht="15">
      <c r="B5" s="1" t="s">
        <v>127</v>
      </c>
      <c r="C5" s="1"/>
    </row>
    <row r="6" spans="2:3" ht="15">
      <c r="B6" s="1"/>
      <c r="C6" s="1"/>
    </row>
    <row r="7" spans="2:3" ht="15">
      <c r="B7" s="1" t="s">
        <v>128</v>
      </c>
      <c r="C7" s="1"/>
    </row>
    <row r="8" spans="2:3" ht="15">
      <c r="B8" s="1"/>
      <c r="C8" s="2" t="s">
        <v>129</v>
      </c>
    </row>
    <row r="9" spans="2:3" ht="15">
      <c r="B9" s="1" t="s">
        <v>203</v>
      </c>
      <c r="C9" s="1"/>
    </row>
    <row r="10" spans="2:3" ht="15">
      <c r="B10" s="1"/>
      <c r="C10" s="25" t="s">
        <v>202</v>
      </c>
    </row>
    <row r="11" spans="2:3" ht="15">
      <c r="B11" s="1"/>
      <c r="C11" s="1" t="s">
        <v>130</v>
      </c>
    </row>
  </sheetData>
  <sheetProtection sheet="1" objects="1" scenarios="1" selectLockedCells="1" selectUnlockedCells="1"/>
  <hyperlinks>
    <hyperlink ref="C8" r:id="rId1" display="www.cncps.cornell.edu"/>
    <hyperlink ref="C10" r:id="rId2" display="vb65@cornell.ed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 Tylutki</dc:creator>
  <cp:keywords/>
  <dc:description/>
  <cp:lastModifiedBy>gla1</cp:lastModifiedBy>
  <cp:lastPrinted>2004-12-30T02:42:42Z</cp:lastPrinted>
  <dcterms:created xsi:type="dcterms:W3CDTF">2003-05-29T16:47:07Z</dcterms:created>
  <dcterms:modified xsi:type="dcterms:W3CDTF">2005-07-13T19:46:19Z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